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1295" windowHeight="3030" activeTab="1"/>
  </bookViews>
  <sheets>
    <sheet name="Budgeting" sheetId="5" r:id="rId1"/>
    <sheet name="Summary" sheetId="1" r:id="rId2"/>
    <sheet name="Vancouver" sheetId="2" r:id="rId3"/>
    <sheet name="HK-Macau" sheetId="3" r:id="rId4"/>
    <sheet name="M China" sheetId="4" r:id="rId5"/>
    <sheet name="Vietnam" sheetId="6" r:id="rId6"/>
    <sheet name="Cambodia" sheetId="8" r:id="rId7"/>
    <sheet name="Thailand" sheetId="9" r:id="rId8"/>
    <sheet name="M China (2)" sheetId="10" r:id="rId9"/>
    <sheet name="South Korea" sheetId="11" r:id="rId10"/>
  </sheets>
  <definedNames/>
  <calcPr calcId="125725"/>
</workbook>
</file>

<file path=xl/sharedStrings.xml><?xml version="1.0" encoding="utf-8"?>
<sst xmlns="http://schemas.openxmlformats.org/spreadsheetml/2006/main" count="350" uniqueCount="197">
  <si>
    <t>Total Trip</t>
  </si>
  <si>
    <t>Netbooks</t>
  </si>
  <si>
    <t>Flight</t>
  </si>
  <si>
    <t>China Visa's</t>
  </si>
  <si>
    <t>Health Insurance</t>
  </si>
  <si>
    <t>OLD SPAGHETTI FACTORY VANCOUVER BC</t>
  </si>
  <si>
    <t>PEMBERTON HEIGHTS CORNER NORTH VANCO BC</t>
  </si>
  <si>
    <t>URBAN THAI BISTRO VANCOUVER BC</t>
  </si>
  <si>
    <t>A&amp;W RESTAURANT RICHMOND BC</t>
  </si>
  <si>
    <t>WWW.SKYPE.COM INTERNET</t>
  </si>
  <si>
    <t>GROUSE MOUNTAIN RESORT N.VANCOUVER BC</t>
  </si>
  <si>
    <t>STEAMROLLERS ROBSON VANCOUVER BC</t>
  </si>
  <si>
    <t>SHOPPERSDRUGMART2277 VANCOUVER BC</t>
  </si>
  <si>
    <t>H&amp;M CA #037 - PACIFIC VANCOUVER BC</t>
  </si>
  <si>
    <t>LONDON DRUGS 19 VANCOUVER BC</t>
  </si>
  <si>
    <t>BLENZ COFFEE ROBSON WEST VANCOUVER BC</t>
  </si>
  <si>
    <t>THIDA THAI RESTAURANT VANCOUVER BC</t>
  </si>
  <si>
    <t>ST CLAIR HOTEL VANCOUVER BC</t>
  </si>
  <si>
    <t>SHOPPERSDRUGMART0272 VANCOUVER BC</t>
  </si>
  <si>
    <t>TRUE NORTH HOSTELLING ASS VANCOUVER BC</t>
  </si>
  <si>
    <t>WWW.HIHOSTELS.COM WELWYN GARDEN</t>
  </si>
  <si>
    <t>Airport Food</t>
  </si>
  <si>
    <t>Cash</t>
  </si>
  <si>
    <t>Chuen Lee Seafood Dinner</t>
  </si>
  <si>
    <t>Remaining HK Cash</t>
  </si>
  <si>
    <t>USD to Yuan Conversion</t>
  </si>
  <si>
    <t>Yaletown Beer</t>
  </si>
  <si>
    <t>Sharon's doctors visit</t>
  </si>
  <si>
    <t>Korean Dinner</t>
  </si>
  <si>
    <t>Macau Dinner - Portuguese</t>
  </si>
  <si>
    <t>Starbucks</t>
  </si>
  <si>
    <t>Total</t>
  </si>
  <si>
    <t>Number of days</t>
  </si>
  <si>
    <t>Hostelword Shenzhen Fee</t>
  </si>
  <si>
    <t>Start Date</t>
  </si>
  <si>
    <t>Leave Date</t>
  </si>
  <si>
    <t>Activity</t>
  </si>
  <si>
    <t>Amount</t>
  </si>
  <si>
    <t>Avg Per Day</t>
  </si>
  <si>
    <t>Date</t>
  </si>
  <si>
    <t>Remaining</t>
  </si>
  <si>
    <t>Vancouver</t>
  </si>
  <si>
    <t>HK-Macau</t>
  </si>
  <si>
    <t>Avg. Per Day</t>
  </si>
  <si>
    <t>Pre-Trip Start</t>
  </si>
  <si>
    <t>Activity/Destination</t>
  </si>
  <si>
    <t>Money Spent</t>
  </si>
  <si>
    <t>Days</t>
  </si>
  <si>
    <t>Days Remaining</t>
  </si>
  <si>
    <t>Total Pre-Trip Expenses</t>
  </si>
  <si>
    <t>Days Spent</t>
  </si>
  <si>
    <t>Target Spend Per Day</t>
  </si>
  <si>
    <t>Current Run Rate</t>
  </si>
  <si>
    <t>Target Spend Per Week</t>
  </si>
  <si>
    <t>Per Two Weeks</t>
  </si>
  <si>
    <t>Jason's Savings</t>
  </si>
  <si>
    <t>Sharon's Savings</t>
  </si>
  <si>
    <t>Saved</t>
  </si>
  <si>
    <t>Total %</t>
  </si>
  <si>
    <t>Withdraw %</t>
  </si>
  <si>
    <t>Amt Per 2 Weeks</t>
  </si>
  <si>
    <t>Over 52 Weeks</t>
  </si>
  <si>
    <t>Guandong Card Cash</t>
  </si>
  <si>
    <t>ABC Cash</t>
  </si>
  <si>
    <t>Construction Bank Cash</t>
  </si>
  <si>
    <t>Hostelworld Haikou Fee</t>
  </si>
  <si>
    <t>Hostelworld Sanya Fee</t>
  </si>
  <si>
    <t>Per Day</t>
  </si>
  <si>
    <t>Bi-Weekly</t>
  </si>
  <si>
    <t>%</t>
  </si>
  <si>
    <t>Approx. Remaining</t>
  </si>
  <si>
    <t>CCB Hainan</t>
  </si>
  <si>
    <t>Air Asia - BKK to CAN</t>
  </si>
  <si>
    <t>Jindong Restaurant</t>
  </si>
  <si>
    <t>Hu Guang Zhi Hang ATM</t>
  </si>
  <si>
    <t>CCB Guangxi Branch</t>
  </si>
  <si>
    <t>Dong Jiang 2</t>
  </si>
  <si>
    <t>Yang Shuo Xi Jie</t>
  </si>
  <si>
    <t>Chao Yang Qiao Fen</t>
  </si>
  <si>
    <t>Nanning</t>
  </si>
  <si>
    <t>Conversion of HKD and USD</t>
  </si>
  <si>
    <t>Hostelworld Beijing Fee</t>
  </si>
  <si>
    <t>Hostelworld Nanning Fee</t>
  </si>
  <si>
    <t>ATM 228 - Cash Hanoi</t>
  </si>
  <si>
    <t>CH Hanoi - HCMVN</t>
  </si>
  <si>
    <t>VIB PGD - Hanoi</t>
  </si>
  <si>
    <t>HSBL Hanoiview 37 Bat</t>
  </si>
  <si>
    <t>TT Cat ba, Haiphong</t>
  </si>
  <si>
    <t>VIB Hue - Hue</t>
  </si>
  <si>
    <t>"00001096"</t>
  </si>
  <si>
    <t>Vietnam</t>
  </si>
  <si>
    <t>Hostelworld Vietnam (Hue)</t>
  </si>
  <si>
    <t>Hostelworld Vietnam (Hanoi)</t>
  </si>
  <si>
    <t>"00001024"</t>
  </si>
  <si>
    <t>91 Tran H Dao, Hoi An, Danang</t>
  </si>
  <si>
    <t>70 Nguyen Thien Thuat</t>
  </si>
  <si>
    <t>20A Tran Quang Khai</t>
  </si>
  <si>
    <t>PGD Dalat</t>
  </si>
  <si>
    <t>211 Nguyen Thai Hoc</t>
  </si>
  <si>
    <t>ANZ-H.GIA Hotel HCMC</t>
  </si>
  <si>
    <t>Dong Withdrawn</t>
  </si>
  <si>
    <t>X-Rate</t>
  </si>
  <si>
    <t>New X-Rate</t>
  </si>
  <si>
    <t>Reimbursed</t>
  </si>
  <si>
    <t>Fee (Dong)</t>
  </si>
  <si>
    <t>Hostelworld Fee</t>
  </si>
  <si>
    <t>Hostelworld Fee - Saigon</t>
  </si>
  <si>
    <t>Cambodia eVisa</t>
  </si>
  <si>
    <t>Skype</t>
  </si>
  <si>
    <t>CTY Diem Sang Chau</t>
  </si>
  <si>
    <t>HCM CHI NHANH</t>
  </si>
  <si>
    <t>PGD Pham Ngu Lao</t>
  </si>
  <si>
    <t>Rattan Coffee</t>
  </si>
  <si>
    <t>Canadia</t>
  </si>
  <si>
    <t>Other Expenses</t>
  </si>
  <si>
    <t>Fingerprinting</t>
  </si>
  <si>
    <t>Cambodia</t>
  </si>
  <si>
    <t>KKG Koh Kong</t>
  </si>
  <si>
    <t>Canadia Sihanoukville</t>
  </si>
  <si>
    <t>Total Other Expenses</t>
  </si>
  <si>
    <t>Canadia Phnom Penh</t>
  </si>
  <si>
    <t>Siem Reap Lucky Mall ATM</t>
  </si>
  <si>
    <t>Hostelworld - Phnom Penh</t>
  </si>
  <si>
    <t>Hostelworld - Siem Reap</t>
  </si>
  <si>
    <t xml:space="preserve">Camera </t>
  </si>
  <si>
    <t>Baht Withdrawn</t>
  </si>
  <si>
    <t>Fee (Baht)</t>
  </si>
  <si>
    <t>Klong Prow Resort</t>
  </si>
  <si>
    <t>Kai Bae Shop</t>
  </si>
  <si>
    <t>Scuba Diving</t>
  </si>
  <si>
    <t>Revenue</t>
  </si>
  <si>
    <t>Amazon</t>
  </si>
  <si>
    <t>Total Revenue</t>
  </si>
  <si>
    <t>ATM Fee Rebate + Int</t>
  </si>
  <si>
    <t>Bangkok Bank</t>
  </si>
  <si>
    <t>Thailand</t>
  </si>
  <si>
    <t>Hostelworld - BKK</t>
  </si>
  <si>
    <t xml:space="preserve">RMB </t>
  </si>
  <si>
    <t>Guang Dong</t>
  </si>
  <si>
    <t>Remaining Baht</t>
  </si>
  <si>
    <t>Hostelworld - CAN</t>
  </si>
  <si>
    <t>CCB - Guangdong</t>
  </si>
  <si>
    <t>Xiushui Street Beijing</t>
  </si>
  <si>
    <t>Beijing</t>
  </si>
  <si>
    <t>Beijing Zhan Shou Piao</t>
  </si>
  <si>
    <t>Dongdanitiezhan Beijing</t>
  </si>
  <si>
    <t>Sou Xiou Chong Wen Men</t>
  </si>
  <si>
    <t>Bank of China</t>
  </si>
  <si>
    <t>CCB Dalian</t>
  </si>
  <si>
    <t>CCB Dalin</t>
  </si>
  <si>
    <t>Student Loan</t>
  </si>
  <si>
    <t>Won</t>
  </si>
  <si>
    <t>Yeonanbudog - Incheon</t>
  </si>
  <si>
    <t>Seoulguwol-Dong Incheon</t>
  </si>
  <si>
    <t>Shinhan Card Seoul</t>
  </si>
  <si>
    <t>Engineers w/o borders</t>
  </si>
  <si>
    <t>GS25 InchungooworlJum</t>
  </si>
  <si>
    <t>South Korea</t>
  </si>
  <si>
    <t>Samsung Gate Ban Seoul</t>
  </si>
  <si>
    <t>Fee (Won)</t>
  </si>
  <si>
    <t>Sangwon Incheon</t>
  </si>
  <si>
    <t>Ziesliteilsongdo</t>
  </si>
  <si>
    <t>Coamat Seoul</t>
  </si>
  <si>
    <t>Bonjuk Restaurant</t>
  </si>
  <si>
    <t>Buy The Way</t>
  </si>
  <si>
    <t>Rent</t>
  </si>
  <si>
    <t>Mar-Apr</t>
  </si>
  <si>
    <t>Rent Calculation</t>
  </si>
  <si>
    <t>Budget</t>
  </si>
  <si>
    <t>Food</t>
  </si>
  <si>
    <t>Cost</t>
  </si>
  <si>
    <t>Classes</t>
  </si>
  <si>
    <t>Per Class</t>
  </si>
  <si>
    <t>Month</t>
  </si>
  <si>
    <t>Pizza House</t>
  </si>
  <si>
    <t>Zieswatsnssungdae</t>
  </si>
  <si>
    <t>Somoon Nangong</t>
  </si>
  <si>
    <t>Kimbab Restaurant</t>
  </si>
  <si>
    <t>CJ Food Bil</t>
  </si>
  <si>
    <t>E-mart</t>
  </si>
  <si>
    <t>Jongrue Choongshin</t>
  </si>
  <si>
    <t>Yeonjidong Branch</t>
  </si>
  <si>
    <t>Samsung Nice</t>
  </si>
  <si>
    <t>Yeoksamgangnam</t>
  </si>
  <si>
    <t>Apartment Deposit</t>
  </si>
  <si>
    <t>Rent ATM Stuff</t>
  </si>
  <si>
    <t>Tax Refund - Jason</t>
  </si>
  <si>
    <t>Country/City</t>
  </si>
  <si>
    <t>Accomodation</t>
  </si>
  <si>
    <t>Activities/Other</t>
  </si>
  <si>
    <t>Transportation</t>
  </si>
  <si>
    <t>Korean Class</t>
  </si>
  <si>
    <t>Total Spent to Date</t>
  </si>
  <si>
    <t>Total Budget</t>
  </si>
  <si>
    <t>Mainland China</t>
  </si>
  <si>
    <t>Mainland China #2</t>
  </si>
  <si>
    <t>Money Remaining inc. Rev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</si>
</sst>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[$฿-41E]* #,##0_-;\-[$฿-41E]* #,##0_-;_-[$฿-41E]* &quot;-&quot;??_-;_-@_-"/>
    <numFmt numFmtId="167" formatCode="_ [$￥-804]* #,##0.00_ ;_ [$￥-804]* \-#,##0.00_ ;_ [$￥-804]* &quot;-&quot;??_ ;_ @_ "/>
    <numFmt numFmtId="168" formatCode="_-[$₩-412]* #,##0.00_-;\-[$₩-412]* #,##0.00_-;_-[$₩-412]* &quot;-&quot;??_-;_-@_-"/>
    <numFmt numFmtId="169" formatCode="_-[$₩-412]* #,##0_-;\-[$₩-412]* #,##0_-;_-[$₩-412]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4" fontId="0" fillId="0" borderId="0" xfId="16" applyFont="1"/>
    <xf numFmtId="164" fontId="0" fillId="0" borderId="0" xfId="16" applyNumberFormat="1" applyFont="1"/>
    <xf numFmtId="44" fontId="0" fillId="0" borderId="0" xfId="0" applyNumberFormat="1"/>
    <xf numFmtId="16" fontId="0" fillId="0" borderId="0" xfId="0" applyNumberFormat="1"/>
    <xf numFmtId="0" fontId="2" fillId="0" borderId="0" xfId="0" applyFont="1"/>
    <xf numFmtId="44" fontId="0" fillId="0" borderId="1" xfId="16" applyFont="1" applyBorder="1"/>
    <xf numFmtId="0" fontId="0" fillId="0" borderId="1" xfId="0" applyBorder="1"/>
    <xf numFmtId="0" fontId="0" fillId="0" borderId="2" xfId="0" applyBorder="1"/>
    <xf numFmtId="8" fontId="0" fillId="0" borderId="0" xfId="0" applyNumberFormat="1"/>
    <xf numFmtId="9" fontId="0" fillId="0" borderId="0" xfId="0" applyNumberFormat="1"/>
    <xf numFmtId="9" fontId="0" fillId="0" borderId="0" xfId="15" applyFont="1"/>
    <xf numFmtId="44" fontId="0" fillId="0" borderId="0" xfId="16" applyFont="1" applyBorder="1"/>
    <xf numFmtId="44" fontId="0" fillId="0" borderId="0" xfId="16" applyFont="1" applyFill="1" applyBorder="1"/>
    <xf numFmtId="8" fontId="0" fillId="0" borderId="1" xfId="0" applyNumberFormat="1" applyBorder="1"/>
    <xf numFmtId="44" fontId="0" fillId="0" borderId="1" xfId="0" applyNumberFormat="1" applyBorder="1"/>
    <xf numFmtId="9" fontId="0" fillId="0" borderId="3" xfId="0" applyNumberFormat="1" applyBorder="1"/>
    <xf numFmtId="8" fontId="0" fillId="0" borderId="3" xfId="0" applyNumberFormat="1" applyBorder="1"/>
    <xf numFmtId="9" fontId="0" fillId="0" borderId="2" xfId="0" applyNumberFormat="1" applyBorder="1"/>
    <xf numFmtId="8" fontId="0" fillId="0" borderId="2" xfId="0" applyNumberFormat="1" applyBorder="1"/>
    <xf numFmtId="9" fontId="0" fillId="2" borderId="2" xfId="0" applyNumberFormat="1" applyFill="1" applyBorder="1"/>
    <xf numFmtId="8" fontId="0" fillId="2" borderId="2" xfId="0" applyNumberFormat="1" applyFill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0" fillId="0" borderId="10" xfId="0" applyNumberFormat="1" applyBorder="1"/>
    <xf numFmtId="8" fontId="0" fillId="0" borderId="11" xfId="0" applyNumberFormat="1" applyBorder="1"/>
    <xf numFmtId="8" fontId="0" fillId="0" borderId="12" xfId="0" applyNumberFormat="1" applyBorder="1"/>
    <xf numFmtId="164" fontId="0" fillId="0" borderId="0" xfId="0" applyNumberFormat="1"/>
    <xf numFmtId="44" fontId="0" fillId="3" borderId="2" xfId="0" applyNumberFormat="1" applyFill="1" applyBorder="1"/>
    <xf numFmtId="44" fontId="0" fillId="3" borderId="2" xfId="16" applyFont="1" applyFill="1" applyBorder="1"/>
    <xf numFmtId="44" fontId="0" fillId="3" borderId="0" xfId="0" applyNumberFormat="1" applyFill="1" applyBorder="1"/>
    <xf numFmtId="44" fontId="0" fillId="3" borderId="0" xfId="16" applyFont="1" applyFill="1" applyBorder="1"/>
    <xf numFmtId="166" fontId="0" fillId="0" borderId="0" xfId="0" applyNumberFormat="1"/>
    <xf numFmtId="167" fontId="0" fillId="0" borderId="0" xfId="16" applyNumberFormat="1" applyFont="1"/>
    <xf numFmtId="168" fontId="0" fillId="0" borderId="0" xfId="16" applyNumberFormat="1" applyFont="1"/>
    <xf numFmtId="168" fontId="0" fillId="0" borderId="0" xfId="0" applyNumberFormat="1"/>
    <xf numFmtId="169" fontId="0" fillId="0" borderId="0" xfId="16" applyNumberFormat="1" applyFont="1"/>
    <xf numFmtId="0" fontId="0" fillId="4" borderId="0" xfId="0" applyFill="1"/>
    <xf numFmtId="0" fontId="2" fillId="4" borderId="2" xfId="0" applyFont="1" applyFill="1" applyBorder="1"/>
    <xf numFmtId="0" fontId="0" fillId="4" borderId="2" xfId="0" applyFill="1" applyBorder="1"/>
    <xf numFmtId="6" fontId="0" fillId="4" borderId="2" xfId="16" applyNumberFormat="1" applyFont="1" applyFill="1" applyBorder="1"/>
    <xf numFmtId="8" fontId="0" fillId="4" borderId="2" xfId="16" applyNumberFormat="1" applyFont="1" applyFill="1" applyBorder="1"/>
    <xf numFmtId="164" fontId="0" fillId="4" borderId="0" xfId="16" applyNumberFormat="1" applyFont="1" applyFill="1"/>
    <xf numFmtId="6" fontId="0" fillId="4" borderId="2" xfId="0" applyNumberFormat="1" applyFill="1" applyBorder="1"/>
    <xf numFmtId="44" fontId="0" fillId="4" borderId="2" xfId="16" applyNumberFormat="1" applyFont="1" applyFill="1" applyBorder="1"/>
    <xf numFmtId="0" fontId="0" fillId="4" borderId="13" xfId="0" applyFill="1" applyBorder="1"/>
    <xf numFmtId="6" fontId="0" fillId="4" borderId="13" xfId="16" applyNumberFormat="1" applyFont="1" applyFill="1" applyBorder="1"/>
    <xf numFmtId="8" fontId="0" fillId="4" borderId="13" xfId="16" applyNumberFormat="1" applyFont="1" applyFill="1" applyBorder="1"/>
    <xf numFmtId="0" fontId="0" fillId="4" borderId="14" xfId="0" applyFill="1" applyBorder="1"/>
    <xf numFmtId="6" fontId="0" fillId="4" borderId="0" xfId="0" applyNumberFormat="1" applyFill="1"/>
    <xf numFmtId="8" fontId="0" fillId="4" borderId="14" xfId="16" applyNumberFormat="1" applyFont="1" applyFill="1" applyBorder="1"/>
    <xf numFmtId="6" fontId="0" fillId="4" borderId="13" xfId="0" applyNumberFormat="1" applyFill="1" applyBorder="1"/>
    <xf numFmtId="44" fontId="0" fillId="4" borderId="13" xfId="16" applyNumberFormat="1" applyFont="1" applyFill="1" applyBorder="1"/>
    <xf numFmtId="8" fontId="0" fillId="4" borderId="0" xfId="0" applyNumberFormat="1" applyFill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0" fillId="4" borderId="3" xfId="0" applyFill="1" applyBorder="1"/>
    <xf numFmtId="6" fontId="0" fillId="4" borderId="3" xfId="0" applyNumberFormat="1" applyFill="1" applyBorder="1"/>
    <xf numFmtId="8" fontId="0" fillId="4" borderId="3" xfId="16" applyNumberFormat="1" applyFont="1" applyFill="1" applyBorder="1"/>
    <xf numFmtId="0" fontId="0" fillId="4" borderId="7" xfId="0" applyFill="1" applyBorder="1"/>
    <xf numFmtId="16" fontId="0" fillId="4" borderId="2" xfId="0" applyNumberFormat="1" applyFill="1" applyBorder="1"/>
    <xf numFmtId="6" fontId="0" fillId="4" borderId="11" xfId="16" applyNumberFormat="1" applyFont="1" applyFill="1" applyBorder="1"/>
    <xf numFmtId="0" fontId="0" fillId="4" borderId="18" xfId="0" applyFill="1" applyBorder="1"/>
    <xf numFmtId="16" fontId="0" fillId="4" borderId="19" xfId="0" applyNumberFormat="1" applyFill="1" applyBorder="1"/>
    <xf numFmtId="6" fontId="0" fillId="4" borderId="20" xfId="16" applyNumberFormat="1" applyFont="1" applyFill="1" applyBorder="1"/>
    <xf numFmtId="0" fontId="0" fillId="4" borderId="21" xfId="0" applyFill="1" applyBorder="1"/>
    <xf numFmtId="16" fontId="0" fillId="4" borderId="13" xfId="0" applyNumberFormat="1" applyFill="1" applyBorder="1"/>
    <xf numFmtId="6" fontId="0" fillId="4" borderId="22" xfId="16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6" fontId="0" fillId="4" borderId="25" xfId="0" applyNumberFormat="1" applyFill="1" applyBorder="1"/>
    <xf numFmtId="0" fontId="2" fillId="4" borderId="0" xfId="0" applyFont="1" applyFill="1"/>
    <xf numFmtId="44" fontId="0" fillId="4" borderId="0" xfId="0" applyNumberFormat="1" applyFill="1"/>
    <xf numFmtId="0" fontId="2" fillId="4" borderId="3" xfId="0" applyFont="1" applyFill="1" applyBorder="1"/>
    <xf numFmtId="6" fontId="0" fillId="4" borderId="26" xfId="0" applyNumberFormat="1" applyFill="1" applyBorder="1"/>
    <xf numFmtId="165" fontId="0" fillId="4" borderId="26" xfId="18" applyNumberFormat="1" applyFont="1" applyFill="1" applyBorder="1"/>
    <xf numFmtId="9" fontId="0" fillId="4" borderId="2" xfId="15" applyFont="1" applyFill="1" applyBorder="1"/>
    <xf numFmtId="0" fontId="0" fillId="4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/>
  </sheetViews>
  <sheetFormatPr defaultColWidth="9.140625" defaultRowHeight="15"/>
  <cols>
    <col min="1" max="1" width="22.00390625" style="0" bestFit="1" customWidth="1"/>
    <col min="2" max="2" width="10.8515625" style="0" bestFit="1" customWidth="1"/>
    <col min="4" max="4" width="2.8515625" style="0" customWidth="1"/>
    <col min="5" max="5" width="15.57421875" style="0" bestFit="1" customWidth="1"/>
    <col min="6" max="6" width="11.57421875" style="0" bestFit="1" customWidth="1"/>
    <col min="8" max="8" width="11.7109375" style="0" bestFit="1" customWidth="1"/>
    <col min="9" max="9" width="16.140625" style="0" bestFit="1" customWidth="1"/>
    <col min="10" max="10" width="14.28125" style="0" bestFit="1" customWidth="1"/>
    <col min="11" max="11" width="10.57421875" style="0" bestFit="1" customWidth="1"/>
  </cols>
  <sheetData>
    <row r="1" spans="1:11" ht="15">
      <c r="A1" s="8" t="s">
        <v>51</v>
      </c>
      <c r="B1" s="19">
        <f>Summary!D9</f>
        <v>127.68219178082192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40</v>
      </c>
    </row>
    <row r="2" spans="1:11" ht="15">
      <c r="A2" s="8" t="s">
        <v>53</v>
      </c>
      <c r="B2" s="19">
        <f>B1*7</f>
        <v>893.7753424657535</v>
      </c>
      <c r="E2" t="s">
        <v>55</v>
      </c>
      <c r="F2" s="2">
        <v>39000</v>
      </c>
      <c r="G2" s="11">
        <f>F2/($F$2+$F$3)</f>
        <v>0.78</v>
      </c>
      <c r="H2" s="10">
        <v>0.82</v>
      </c>
      <c r="I2" s="9">
        <f>H2*$B$8</f>
        <v>1172.6332493150685</v>
      </c>
      <c r="J2" s="9">
        <f>I2*26</f>
        <v>30488.464482191783</v>
      </c>
      <c r="K2" s="3">
        <f>F2-J2</f>
        <v>8511.535517808217</v>
      </c>
    </row>
    <row r="3" spans="1:11" ht="15.75" thickBot="1">
      <c r="A3" s="8" t="s">
        <v>54</v>
      </c>
      <c r="B3" s="19">
        <f>B2*2</f>
        <v>1787.550684931507</v>
      </c>
      <c r="E3" t="s">
        <v>56</v>
      </c>
      <c r="F3" s="2">
        <v>11000</v>
      </c>
      <c r="G3" s="11">
        <f>F3/($F$2+$F$3)</f>
        <v>0.22</v>
      </c>
      <c r="H3" s="10">
        <v>0.18</v>
      </c>
      <c r="I3" s="14">
        <f>H3*$B$8</f>
        <v>257.407298630137</v>
      </c>
      <c r="J3" s="14">
        <f>I3*26</f>
        <v>6692.589764383562</v>
      </c>
      <c r="K3" s="15">
        <f>F3-J3</f>
        <v>4307.410235616438</v>
      </c>
    </row>
    <row r="4" spans="9:11" ht="16.5" thickBot="1" thickTop="1">
      <c r="I4" s="9">
        <f>I2+I3</f>
        <v>1430.0405479452056</v>
      </c>
      <c r="J4" s="9">
        <f>J2+J3</f>
        <v>37181.054246575346</v>
      </c>
      <c r="K4" s="9">
        <f>K2+K3</f>
        <v>12818.945753424654</v>
      </c>
    </row>
    <row r="5" spans="1:3" ht="15.75" thickBot="1">
      <c r="A5" s="22" t="s">
        <v>69</v>
      </c>
      <c r="B5" s="23" t="s">
        <v>68</v>
      </c>
      <c r="C5" s="24" t="s">
        <v>67</v>
      </c>
    </row>
    <row r="6" spans="1:3" ht="15">
      <c r="A6" s="16">
        <v>1</v>
      </c>
      <c r="B6" s="17">
        <f>B3</f>
        <v>1787.550684931507</v>
      </c>
      <c r="C6" s="17">
        <f>B6/14</f>
        <v>127.68219178082192</v>
      </c>
    </row>
    <row r="7" spans="1:3" ht="15">
      <c r="A7" s="18">
        <v>0.9</v>
      </c>
      <c r="B7" s="19">
        <f>A7*$B$3</f>
        <v>1608.7956164383563</v>
      </c>
      <c r="C7" s="19">
        <f>B7/14</f>
        <v>114.91397260273973</v>
      </c>
    </row>
    <row r="8" spans="1:3" ht="15">
      <c r="A8" s="20">
        <v>0.8</v>
      </c>
      <c r="B8" s="21">
        <f aca="true" t="shared" si="0" ref="B8:B10">A8*$B$3</f>
        <v>1430.0405479452056</v>
      </c>
      <c r="C8" s="21">
        <f aca="true" t="shared" si="1" ref="C8:C10">B8/14</f>
        <v>102.14575342465754</v>
      </c>
    </row>
    <row r="9" spans="1:3" ht="15">
      <c r="A9" s="18">
        <v>0.7</v>
      </c>
      <c r="B9" s="19">
        <f t="shared" si="0"/>
        <v>1251.285479452055</v>
      </c>
      <c r="C9" s="19">
        <f t="shared" si="1"/>
        <v>89.37753424657535</v>
      </c>
    </row>
    <row r="10" spans="1:3" ht="15">
      <c r="A10" s="18">
        <v>0.6</v>
      </c>
      <c r="B10" s="19">
        <f t="shared" si="0"/>
        <v>1072.5304109589042</v>
      </c>
      <c r="C10" s="19">
        <f t="shared" si="1"/>
        <v>76.60931506849316</v>
      </c>
    </row>
    <row r="11" ht="15.75" thickBot="1"/>
    <row r="12" spans="1:2" ht="15">
      <c r="A12" s="26" t="s">
        <v>60</v>
      </c>
      <c r="B12" s="28">
        <f>I4</f>
        <v>1430.0405479452056</v>
      </c>
    </row>
    <row r="13" spans="1:2" ht="15">
      <c r="A13" s="25" t="s">
        <v>61</v>
      </c>
      <c r="B13" s="29">
        <f>J4</f>
        <v>37181.054246575346</v>
      </c>
    </row>
    <row r="14" spans="1:2" ht="15.75" thickBot="1">
      <c r="A14" s="27" t="s">
        <v>70</v>
      </c>
      <c r="B14" s="30">
        <f>K4</f>
        <v>12818.945753424654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1.57421875" style="0" bestFit="1" customWidth="1"/>
    <col min="4" max="4" width="15.28125" style="0" bestFit="1" customWidth="1"/>
    <col min="5" max="5" width="10.57421875" style="0" bestFit="1" customWidth="1"/>
    <col min="6" max="6" width="10.57421875" style="0" customWidth="1"/>
    <col min="7" max="7" width="11.421875" style="0" bestFit="1" customWidth="1"/>
    <col min="8" max="8" width="11.7109375" style="0" bestFit="1" customWidth="1"/>
    <col min="9" max="9" width="2.140625" style="0" customWidth="1"/>
    <col min="10" max="10" width="10.57421875" style="0" bestFit="1" customWidth="1"/>
    <col min="13" max="13" width="12.140625" style="0" bestFit="1" customWidth="1"/>
    <col min="17" max="17" width="14.28125" style="0" bestFit="1" customWidth="1"/>
    <col min="21" max="21" width="12.5742187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151</v>
      </c>
      <c r="E1" s="5" t="s">
        <v>101</v>
      </c>
      <c r="F1" s="5" t="s">
        <v>159</v>
      </c>
      <c r="G1" s="5" t="s">
        <v>102</v>
      </c>
      <c r="H1" s="5" t="s">
        <v>103</v>
      </c>
    </row>
    <row r="2" spans="1:20" ht="15">
      <c r="A2" s="4">
        <v>40232</v>
      </c>
      <c r="B2" t="s">
        <v>152</v>
      </c>
      <c r="C2" s="1">
        <v>26.18</v>
      </c>
      <c r="D2" s="38">
        <v>30000</v>
      </c>
      <c r="E2" s="32">
        <f>IF(D2&lt;&gt;"",D2/C2,"")</f>
        <v>1145.912910618793</v>
      </c>
      <c r="F2" s="40"/>
      <c r="G2" s="32" t="str">
        <f aca="true" t="shared" si="0" ref="G2">IF(F2&lt;&gt;"",(E2*C2+F2)/C2,"")</f>
        <v/>
      </c>
      <c r="H2" s="33" t="str">
        <f>IF(G2&lt;&gt;"",F2/G2,"")</f>
        <v/>
      </c>
      <c r="J2" s="4">
        <f>'M China (2)'!G3</f>
        <v>40232</v>
      </c>
      <c r="K2" t="s">
        <v>34</v>
      </c>
      <c r="M2" s="4" t="s">
        <v>168</v>
      </c>
      <c r="N2" s="1">
        <v>100</v>
      </c>
      <c r="Q2" t="s">
        <v>170</v>
      </c>
      <c r="R2" t="s">
        <v>173</v>
      </c>
      <c r="S2" t="s">
        <v>171</v>
      </c>
      <c r="T2" t="s">
        <v>172</v>
      </c>
    </row>
    <row r="3" spans="1:21" ht="15">
      <c r="A3" s="4">
        <v>40232</v>
      </c>
      <c r="B3" t="s">
        <v>153</v>
      </c>
      <c r="C3" s="1">
        <v>43.63</v>
      </c>
      <c r="D3" s="38">
        <v>50000</v>
      </c>
      <c r="E3" s="32">
        <f aca="true" t="shared" si="1" ref="E3:E36">IF(D3&lt;&gt;"",D3/C3,"")</f>
        <v>1146.0004584001833</v>
      </c>
      <c r="F3" s="40"/>
      <c r="G3" s="32" t="str">
        <f aca="true" t="shared" si="2" ref="G3:G36">IF(F3&lt;&gt;"",(E3*C3+F3)/C3,"")</f>
        <v/>
      </c>
      <c r="H3" s="33" t="str">
        <f aca="true" t="shared" si="3" ref="H3:H36">IF(G3&lt;&gt;"",F3/G3,"")</f>
        <v/>
      </c>
      <c r="J3" s="4">
        <v>40244</v>
      </c>
      <c r="K3" t="s">
        <v>35</v>
      </c>
      <c r="M3" s="4" t="s">
        <v>165</v>
      </c>
      <c r="N3" s="1">
        <f>1100000/1150/60</f>
        <v>15.942028985507246</v>
      </c>
      <c r="Q3" s="40">
        <v>280000</v>
      </c>
      <c r="R3">
        <v>1</v>
      </c>
      <c r="S3">
        <v>12</v>
      </c>
      <c r="T3">
        <v>2</v>
      </c>
      <c r="U3" s="39">
        <f>Q3/S3/T3</f>
        <v>11666.666666666666</v>
      </c>
    </row>
    <row r="4" spans="1:21" ht="15">
      <c r="A4" s="4">
        <v>40233</v>
      </c>
      <c r="B4" t="s">
        <v>154</v>
      </c>
      <c r="C4" s="1">
        <v>87.25</v>
      </c>
      <c r="D4" s="38">
        <v>100000</v>
      </c>
      <c r="E4" s="32">
        <f t="shared" si="1"/>
        <v>1146.1318051575931</v>
      </c>
      <c r="F4" s="40"/>
      <c r="G4" s="32" t="str">
        <f t="shared" si="2"/>
        <v/>
      </c>
      <c r="H4" s="33" t="str">
        <f t="shared" si="3"/>
        <v/>
      </c>
      <c r="J4">
        <f>J3-J2</f>
        <v>12</v>
      </c>
      <c r="K4" t="s">
        <v>32</v>
      </c>
      <c r="M4" t="s">
        <v>169</v>
      </c>
      <c r="N4" s="1">
        <v>25</v>
      </c>
      <c r="P4">
        <v>1150</v>
      </c>
      <c r="Q4" s="40">
        <v>190000</v>
      </c>
      <c r="R4">
        <v>1</v>
      </c>
      <c r="S4">
        <v>8</v>
      </c>
      <c r="T4">
        <v>2</v>
      </c>
      <c r="U4" s="39">
        <f>Q4/S4/T4</f>
        <v>11875</v>
      </c>
    </row>
    <row r="5" spans="1:16" ht="15">
      <c r="A5" s="4">
        <v>40233</v>
      </c>
      <c r="B5" t="s">
        <v>156</v>
      </c>
      <c r="C5" s="1">
        <v>13.52</v>
      </c>
      <c r="D5" s="38">
        <v>15500</v>
      </c>
      <c r="E5" s="32">
        <f t="shared" si="1"/>
        <v>1146.4497041420118</v>
      </c>
      <c r="F5" s="40"/>
      <c r="G5" s="32" t="str">
        <f t="shared" si="2"/>
        <v/>
      </c>
      <c r="H5" s="33" t="str">
        <f t="shared" si="3"/>
        <v/>
      </c>
      <c r="J5" s="3">
        <f>C37-J8-J9</f>
        <v>1315.1442028985505</v>
      </c>
      <c r="K5" t="s">
        <v>31</v>
      </c>
      <c r="M5" t="s">
        <v>191</v>
      </c>
      <c r="N5" s="1">
        <f>(O5*2)/30</f>
        <v>16.231884057971016</v>
      </c>
      <c r="O5">
        <f>280000/P4</f>
        <v>243.47826086956522</v>
      </c>
      <c r="P5">
        <f>O5/12</f>
        <v>20.28985507246377</v>
      </c>
    </row>
    <row r="6" spans="1:15" ht="15">
      <c r="A6" s="4">
        <v>40234</v>
      </c>
      <c r="B6" t="s">
        <v>158</v>
      </c>
      <c r="C6" s="1">
        <v>89.55</v>
      </c>
      <c r="D6" s="38">
        <v>100000</v>
      </c>
      <c r="E6" s="32">
        <f t="shared" si="1"/>
        <v>1116.6945840312676</v>
      </c>
      <c r="F6" s="40">
        <v>3000</v>
      </c>
      <c r="G6" s="32">
        <f t="shared" si="2"/>
        <v>1150.1954215522057</v>
      </c>
      <c r="H6" s="33">
        <f t="shared" si="3"/>
        <v>2.6082524271844654</v>
      </c>
      <c r="J6" s="3">
        <f>J5/J4</f>
        <v>109.59535024154587</v>
      </c>
      <c r="K6" t="s">
        <v>38</v>
      </c>
      <c r="N6" s="1">
        <f>(O6*2)/30</f>
        <v>11.594202898550725</v>
      </c>
      <c r="O6">
        <f>200000/P4</f>
        <v>173.91304347826087</v>
      </c>
    </row>
    <row r="7" spans="1:14" ht="15">
      <c r="A7" s="4">
        <v>40234</v>
      </c>
      <c r="B7" t="s">
        <v>160</v>
      </c>
      <c r="C7" s="1">
        <v>6.96</v>
      </c>
      <c r="D7" s="38"/>
      <c r="E7" s="32"/>
      <c r="F7" s="40"/>
      <c r="G7" s="32"/>
      <c r="H7" s="33"/>
      <c r="N7" s="1"/>
    </row>
    <row r="8" spans="1:14" ht="15">
      <c r="A8" s="4">
        <v>40234</v>
      </c>
      <c r="B8" t="s">
        <v>161</v>
      </c>
      <c r="C8" s="1">
        <v>6.28</v>
      </c>
      <c r="D8" s="38"/>
      <c r="E8" s="32"/>
      <c r="F8" s="40"/>
      <c r="G8" s="32"/>
      <c r="H8" s="33"/>
      <c r="J8" s="1">
        <f>800000/1150</f>
        <v>695.6521739130435</v>
      </c>
      <c r="K8" t="s">
        <v>184</v>
      </c>
      <c r="N8" s="3">
        <f>N3+N4+N5</f>
        <v>57.173913043478265</v>
      </c>
    </row>
    <row r="9" spans="1:11" ht="15">
      <c r="A9" s="4">
        <v>40235</v>
      </c>
      <c r="B9" t="s">
        <v>162</v>
      </c>
      <c r="C9" s="1">
        <v>7.12</v>
      </c>
      <c r="D9" s="38"/>
      <c r="E9" s="32"/>
      <c r="F9" s="40"/>
      <c r="G9" s="32"/>
      <c r="H9" s="33"/>
      <c r="J9" s="1">
        <f>1100000/1150</f>
        <v>956.5217391304348</v>
      </c>
      <c r="K9" t="s">
        <v>185</v>
      </c>
    </row>
    <row r="10" spans="1:10" ht="15">
      <c r="A10" s="4">
        <v>40235</v>
      </c>
      <c r="B10" t="s">
        <v>163</v>
      </c>
      <c r="C10" s="1">
        <v>12.16</v>
      </c>
      <c r="D10" s="38"/>
      <c r="E10" s="32"/>
      <c r="F10" s="40"/>
      <c r="G10" s="32"/>
      <c r="H10" s="33"/>
      <c r="J10" t="s">
        <v>167</v>
      </c>
    </row>
    <row r="11" spans="1:10" ht="15">
      <c r="A11" s="4">
        <v>40236</v>
      </c>
      <c r="B11" t="s">
        <v>158</v>
      </c>
      <c r="C11" s="1">
        <v>88.92</v>
      </c>
      <c r="D11" s="38">
        <v>100000</v>
      </c>
      <c r="E11" s="32">
        <f t="shared" si="1"/>
        <v>1124.6063877642825</v>
      </c>
      <c r="F11" s="40">
        <v>3000</v>
      </c>
      <c r="G11" s="32">
        <f t="shared" si="2"/>
        <v>1158.344579397211</v>
      </c>
      <c r="H11" s="33">
        <f t="shared" si="3"/>
        <v>2.5899029126213593</v>
      </c>
      <c r="J11" s="4">
        <v>40240</v>
      </c>
    </row>
    <row r="12" spans="1:10" ht="15">
      <c r="A12" s="4">
        <v>40237</v>
      </c>
      <c r="B12" t="s">
        <v>158</v>
      </c>
      <c r="C12" s="1">
        <v>132.09</v>
      </c>
      <c r="D12" s="38">
        <v>150000</v>
      </c>
      <c r="E12" s="32">
        <f t="shared" si="1"/>
        <v>1135.5893708834885</v>
      </c>
      <c r="F12" s="40">
        <v>3000</v>
      </c>
      <c r="G12" s="32">
        <f t="shared" si="2"/>
        <v>1158.3011583011582</v>
      </c>
      <c r="H12" s="33">
        <f t="shared" si="3"/>
        <v>2.5900000000000003</v>
      </c>
      <c r="J12">
        <f>J3-J11</f>
        <v>4</v>
      </c>
    </row>
    <row r="13" spans="1:8" ht="15">
      <c r="A13" s="4">
        <v>40238</v>
      </c>
      <c r="B13" t="s">
        <v>174</v>
      </c>
      <c r="C13" s="1">
        <v>4.32</v>
      </c>
      <c r="D13" s="38">
        <v>5000</v>
      </c>
      <c r="E13" s="32">
        <f t="shared" si="1"/>
        <v>1157.4074074074074</v>
      </c>
      <c r="F13" s="40"/>
      <c r="G13" s="32" t="str">
        <f aca="true" t="shared" si="4" ref="G13:G18">IF(F13&lt;&gt;"",(E13*C13+F13)/C13,"")</f>
        <v/>
      </c>
      <c r="H13" s="33" t="str">
        <f aca="true" t="shared" si="5" ref="H13:H18">IF(G13&lt;&gt;"",F13/G13,"")</f>
        <v/>
      </c>
    </row>
    <row r="14" spans="1:8" ht="15">
      <c r="A14" s="4">
        <v>40238</v>
      </c>
      <c r="B14" t="s">
        <v>164</v>
      </c>
      <c r="C14" s="1">
        <v>6.39</v>
      </c>
      <c r="D14" s="38"/>
      <c r="E14" s="32" t="str">
        <f t="shared" si="1"/>
        <v/>
      </c>
      <c r="F14" s="40"/>
      <c r="G14" s="32" t="str">
        <f t="shared" si="4"/>
        <v/>
      </c>
      <c r="H14" s="33" t="str">
        <f t="shared" si="5"/>
        <v/>
      </c>
    </row>
    <row r="15" spans="1:8" ht="15">
      <c r="A15" s="4">
        <v>40238</v>
      </c>
      <c r="B15" t="s">
        <v>180</v>
      </c>
      <c r="C15" s="1">
        <v>86.33</v>
      </c>
      <c r="D15" s="38">
        <v>100000</v>
      </c>
      <c r="E15" s="32">
        <f t="shared" si="1"/>
        <v>1158.3458820803892</v>
      </c>
      <c r="F15" s="40"/>
      <c r="G15" s="32" t="str">
        <f t="shared" si="4"/>
        <v/>
      </c>
      <c r="H15" s="33" t="str">
        <f t="shared" si="5"/>
        <v/>
      </c>
    </row>
    <row r="16" spans="1:8" ht="15">
      <c r="A16" s="4">
        <v>40238</v>
      </c>
      <c r="B16" t="s">
        <v>180</v>
      </c>
      <c r="C16" s="1">
        <v>86.33</v>
      </c>
      <c r="D16" s="38">
        <v>100000</v>
      </c>
      <c r="E16" s="32">
        <f t="shared" si="1"/>
        <v>1158.3458820803892</v>
      </c>
      <c r="F16" s="40"/>
      <c r="G16" s="32" t="str">
        <f t="shared" si="4"/>
        <v/>
      </c>
      <c r="H16" s="33" t="str">
        <f t="shared" si="5"/>
        <v/>
      </c>
    </row>
    <row r="17" spans="1:8" ht="15">
      <c r="A17" s="4">
        <v>40238</v>
      </c>
      <c r="B17" t="s">
        <v>181</v>
      </c>
      <c r="C17" s="1">
        <v>604.33</v>
      </c>
      <c r="D17" s="38">
        <v>700000</v>
      </c>
      <c r="E17" s="32">
        <f t="shared" si="1"/>
        <v>1158.3075472010325</v>
      </c>
      <c r="F17" s="40"/>
      <c r="G17" s="32" t="str">
        <f t="shared" si="4"/>
        <v/>
      </c>
      <c r="H17" s="33" t="str">
        <f t="shared" si="5"/>
        <v/>
      </c>
    </row>
    <row r="18" spans="1:8" ht="15">
      <c r="A18" s="4">
        <v>40238</v>
      </c>
      <c r="B18" t="s">
        <v>158</v>
      </c>
      <c r="C18" s="1">
        <v>347.92</v>
      </c>
      <c r="D18" s="38">
        <v>400000</v>
      </c>
      <c r="E18" s="32">
        <f t="shared" si="1"/>
        <v>1149.6895838123705</v>
      </c>
      <c r="F18" s="40">
        <v>3000</v>
      </c>
      <c r="G18" s="32">
        <f t="shared" si="4"/>
        <v>1158.3122556909634</v>
      </c>
      <c r="H18" s="33">
        <f t="shared" si="5"/>
        <v>2.5899751861042186</v>
      </c>
    </row>
    <row r="19" spans="1:8" ht="15">
      <c r="A19" s="4">
        <v>40239</v>
      </c>
      <c r="B19" t="s">
        <v>158</v>
      </c>
      <c r="C19" s="1">
        <v>349.22</v>
      </c>
      <c r="D19" s="38">
        <v>400000</v>
      </c>
      <c r="E19" s="32">
        <f t="shared" si="1"/>
        <v>1145.409770345341</v>
      </c>
      <c r="F19" s="40">
        <v>3000</v>
      </c>
      <c r="G19" s="32">
        <f aca="true" t="shared" si="6" ref="G19">IF(F19&lt;&gt;"",(E19*C19+F19)/C19,"")</f>
        <v>1154.000343622931</v>
      </c>
      <c r="H19" s="33">
        <f aca="true" t="shared" si="7" ref="H19">IF(G19&lt;&gt;"",F19/G19,"")</f>
        <v>2.5996526054590574</v>
      </c>
    </row>
    <row r="20" spans="1:8" ht="15">
      <c r="A20" s="4">
        <v>40239</v>
      </c>
      <c r="B20" t="s">
        <v>158</v>
      </c>
      <c r="C20" s="1">
        <v>263.71</v>
      </c>
      <c r="D20" s="38">
        <v>300000</v>
      </c>
      <c r="E20" s="32">
        <f t="shared" si="1"/>
        <v>1137.6132873231961</v>
      </c>
      <c r="F20" s="40">
        <v>3000</v>
      </c>
      <c r="G20" s="32">
        <f aca="true" t="shared" si="8" ref="G20:G31">IF(F20&lt;&gt;"",(E20*C20+F20)/C20,"")</f>
        <v>1148.989420196428</v>
      </c>
      <c r="H20" s="33">
        <f aca="true" t="shared" si="9" ref="H20:H31">IF(G20&lt;&gt;"",F20/G20,"")</f>
        <v>2.610990099009901</v>
      </c>
    </row>
    <row r="21" spans="1:8" ht="15">
      <c r="A21" s="4">
        <v>40239</v>
      </c>
      <c r="B21" t="s">
        <v>164</v>
      </c>
      <c r="C21" s="1">
        <v>6.32</v>
      </c>
      <c r="D21" s="38"/>
      <c r="E21" s="32" t="str">
        <f t="shared" si="1"/>
        <v/>
      </c>
      <c r="F21" s="40"/>
      <c r="G21" s="32" t="str">
        <f t="shared" si="8"/>
        <v/>
      </c>
      <c r="H21" s="33" t="str">
        <f t="shared" si="9"/>
        <v/>
      </c>
    </row>
    <row r="22" spans="1:8" ht="15">
      <c r="A22" s="4">
        <v>40239</v>
      </c>
      <c r="B22" t="s">
        <v>175</v>
      </c>
      <c r="C22" s="1">
        <v>6.93</v>
      </c>
      <c r="D22" s="38"/>
      <c r="E22" s="32" t="str">
        <f t="shared" si="1"/>
        <v/>
      </c>
      <c r="F22" s="40"/>
      <c r="G22" s="32" t="str">
        <f t="shared" si="8"/>
        <v/>
      </c>
      <c r="H22" s="33" t="str">
        <f t="shared" si="9"/>
        <v/>
      </c>
    </row>
    <row r="23" spans="1:8" ht="15">
      <c r="A23" s="4">
        <v>40239</v>
      </c>
      <c r="B23" t="s">
        <v>176</v>
      </c>
      <c r="C23" s="1">
        <v>7.8</v>
      </c>
      <c r="D23" s="38"/>
      <c r="E23" s="32" t="str">
        <f t="shared" si="1"/>
        <v/>
      </c>
      <c r="F23" s="40"/>
      <c r="G23" s="32" t="str">
        <f t="shared" si="8"/>
        <v/>
      </c>
      <c r="H23" s="33" t="str">
        <f t="shared" si="9"/>
        <v/>
      </c>
    </row>
    <row r="24" spans="1:8" ht="15">
      <c r="A24" s="4">
        <v>40239</v>
      </c>
      <c r="B24" t="s">
        <v>162</v>
      </c>
      <c r="C24" s="1">
        <v>5.2</v>
      </c>
      <c r="D24" s="38"/>
      <c r="E24" s="32" t="str">
        <f t="shared" si="1"/>
        <v/>
      </c>
      <c r="F24" s="40"/>
      <c r="G24" s="32" t="str">
        <f t="shared" si="8"/>
        <v/>
      </c>
      <c r="H24" s="33" t="str">
        <f t="shared" si="9"/>
        <v/>
      </c>
    </row>
    <row r="25" spans="1:8" ht="15">
      <c r="A25" s="4">
        <v>40239</v>
      </c>
      <c r="B25" t="s">
        <v>177</v>
      </c>
      <c r="C25" s="1">
        <v>6.93</v>
      </c>
      <c r="D25" s="38"/>
      <c r="E25" s="32" t="str">
        <f t="shared" si="1"/>
        <v/>
      </c>
      <c r="F25" s="40"/>
      <c r="G25" s="32" t="str">
        <f t="shared" si="8"/>
        <v/>
      </c>
      <c r="H25" s="33" t="str">
        <f t="shared" si="9"/>
        <v/>
      </c>
    </row>
    <row r="26" spans="1:8" ht="15">
      <c r="A26" s="4">
        <v>40239</v>
      </c>
      <c r="B26" t="s">
        <v>164</v>
      </c>
      <c r="C26" s="1">
        <v>4.29</v>
      </c>
      <c r="D26" s="38"/>
      <c r="E26" s="32" t="str">
        <f t="shared" si="1"/>
        <v/>
      </c>
      <c r="F26" s="40"/>
      <c r="G26" s="32" t="str">
        <f t="shared" si="8"/>
        <v/>
      </c>
      <c r="H26" s="33" t="str">
        <f t="shared" si="9"/>
        <v/>
      </c>
    </row>
    <row r="27" spans="1:8" ht="15">
      <c r="A27" s="4">
        <v>40239</v>
      </c>
      <c r="B27" t="s">
        <v>162</v>
      </c>
      <c r="C27" s="1">
        <v>4.85</v>
      </c>
      <c r="D27" s="38"/>
      <c r="E27" s="32" t="str">
        <f t="shared" si="1"/>
        <v/>
      </c>
      <c r="F27" s="40"/>
      <c r="G27" s="32" t="str">
        <f t="shared" si="8"/>
        <v/>
      </c>
      <c r="H27" s="33" t="str">
        <f t="shared" si="9"/>
        <v/>
      </c>
    </row>
    <row r="28" spans="1:8" ht="15">
      <c r="A28" s="4">
        <v>40239</v>
      </c>
      <c r="B28" t="s">
        <v>178</v>
      </c>
      <c r="C28" s="1">
        <v>6.59</v>
      </c>
      <c r="D28" s="38"/>
      <c r="E28" s="32" t="str">
        <f t="shared" si="1"/>
        <v/>
      </c>
      <c r="F28" s="40"/>
      <c r="G28" s="32" t="str">
        <f t="shared" si="8"/>
        <v/>
      </c>
      <c r="H28" s="33" t="str">
        <f t="shared" si="9"/>
        <v/>
      </c>
    </row>
    <row r="29" spans="1:8" ht="15">
      <c r="A29" s="4">
        <v>40240</v>
      </c>
      <c r="B29" t="s">
        <v>179</v>
      </c>
      <c r="C29" s="1">
        <v>56.38</v>
      </c>
      <c r="D29" s="38"/>
      <c r="E29" s="32" t="str">
        <f t="shared" si="1"/>
        <v/>
      </c>
      <c r="F29" s="40"/>
      <c r="G29" s="32" t="str">
        <f t="shared" si="8"/>
        <v/>
      </c>
      <c r="H29" s="33" t="str">
        <f t="shared" si="9"/>
        <v/>
      </c>
    </row>
    <row r="30" spans="1:8" ht="15">
      <c r="A30" s="4">
        <v>40240</v>
      </c>
      <c r="B30" t="s">
        <v>179</v>
      </c>
      <c r="C30" s="1">
        <v>8.31</v>
      </c>
      <c r="D30" s="38"/>
      <c r="E30" s="32" t="str">
        <f t="shared" si="1"/>
        <v/>
      </c>
      <c r="F30" s="40"/>
      <c r="G30" s="32" t="str">
        <f t="shared" si="8"/>
        <v/>
      </c>
      <c r="H30" s="33" t="str">
        <f t="shared" si="9"/>
        <v/>
      </c>
    </row>
    <row r="31" spans="1:8" ht="15">
      <c r="A31" s="4">
        <v>40242</v>
      </c>
      <c r="B31" t="s">
        <v>182</v>
      </c>
      <c r="C31" s="1">
        <v>265.18</v>
      </c>
      <c r="D31" s="38">
        <v>300000</v>
      </c>
      <c r="E31" s="32">
        <f t="shared" si="1"/>
        <v>1131.3070367297685</v>
      </c>
      <c r="F31" s="40">
        <v>3000</v>
      </c>
      <c r="G31" s="32">
        <f t="shared" si="8"/>
        <v>1142.620107097066</v>
      </c>
      <c r="H31" s="33">
        <f t="shared" si="9"/>
        <v>2.6255445544554457</v>
      </c>
    </row>
    <row r="32" spans="1:8" ht="15">
      <c r="A32" s="4">
        <v>40242</v>
      </c>
      <c r="B32" t="s">
        <v>183</v>
      </c>
      <c r="C32" s="1">
        <v>87.52</v>
      </c>
      <c r="D32" s="38">
        <v>100000</v>
      </c>
      <c r="E32" s="32">
        <f t="shared" si="1"/>
        <v>1142.5959780621572</v>
      </c>
      <c r="F32" s="40"/>
      <c r="G32" s="32" t="str">
        <f aca="true" t="shared" si="10" ref="G32:G35">IF(F32&lt;&gt;"",(E32*C32+F32)/C32,"")</f>
        <v/>
      </c>
      <c r="H32" s="33" t="str">
        <f aca="true" t="shared" si="11" ref="H32:H35">IF(G32&lt;&gt;"",F32/G32,"")</f>
        <v/>
      </c>
    </row>
    <row r="33" spans="1:8" ht="15">
      <c r="A33" s="4">
        <v>40242</v>
      </c>
      <c r="B33" t="s">
        <v>183</v>
      </c>
      <c r="C33" s="1">
        <v>87.52</v>
      </c>
      <c r="D33" s="38">
        <v>100000</v>
      </c>
      <c r="E33" s="32">
        <f t="shared" si="1"/>
        <v>1142.5959780621572</v>
      </c>
      <c r="F33" s="40"/>
      <c r="G33" s="32" t="str">
        <f t="shared" si="10"/>
        <v/>
      </c>
      <c r="H33" s="33" t="str">
        <f t="shared" si="11"/>
        <v/>
      </c>
    </row>
    <row r="34" spans="1:8" ht="15">
      <c r="A34" s="4">
        <v>40242</v>
      </c>
      <c r="B34" t="s">
        <v>183</v>
      </c>
      <c r="C34" s="1">
        <v>87.52</v>
      </c>
      <c r="D34" s="38">
        <v>100000</v>
      </c>
      <c r="E34" s="32">
        <f t="shared" si="1"/>
        <v>1142.5959780621572</v>
      </c>
      <c r="F34" s="40"/>
      <c r="G34" s="32" t="str">
        <f t="shared" si="10"/>
        <v/>
      </c>
      <c r="H34" s="33" t="str">
        <f t="shared" si="11"/>
        <v/>
      </c>
    </row>
    <row r="35" spans="1:8" ht="15">
      <c r="A35" s="4" t="s">
        <v>166</v>
      </c>
      <c r="B35" t="s">
        <v>165</v>
      </c>
      <c r="C35" s="13">
        <f>D35/1150</f>
        <v>63.768115942028984</v>
      </c>
      <c r="D35" s="40">
        <f>(J12/60)*1100000</f>
        <v>73333.33333333333</v>
      </c>
      <c r="E35" s="32">
        <f t="shared" si="1"/>
        <v>1150</v>
      </c>
      <c r="F35" s="40"/>
      <c r="G35" s="32" t="str">
        <f t="shared" si="10"/>
        <v/>
      </c>
      <c r="H35" s="33" t="str">
        <f t="shared" si="11"/>
        <v/>
      </c>
    </row>
    <row r="36" spans="1:8" ht="15">
      <c r="A36" s="4"/>
      <c r="C36" s="13"/>
      <c r="D36" s="39"/>
      <c r="E36" s="32" t="str">
        <f t="shared" si="1"/>
        <v/>
      </c>
      <c r="F36" s="40"/>
      <c r="G36" s="32" t="str">
        <f t="shared" si="2"/>
        <v/>
      </c>
      <c r="H36" s="33" t="str">
        <f t="shared" si="3"/>
        <v/>
      </c>
    </row>
    <row r="37" spans="1:3" ht="15">
      <c r="A37" s="4"/>
      <c r="C37" s="3">
        <f>SUM(C2:C35)</f>
        <v>2967.3181159420287</v>
      </c>
    </row>
    <row r="38" ht="15">
      <c r="A38" s="4"/>
    </row>
    <row r="39" ht="15">
      <c r="C39" s="13"/>
    </row>
    <row r="40" ht="15">
      <c r="C40" s="13"/>
    </row>
    <row r="41" spans="1:3" ht="15">
      <c r="A41" s="4"/>
      <c r="C41" s="13"/>
    </row>
    <row r="42" spans="1:3" ht="15">
      <c r="A42" s="4"/>
      <c r="C42" s="13"/>
    </row>
    <row r="43" spans="1:3" ht="15">
      <c r="A43" s="4"/>
      <c r="C43" s="13"/>
    </row>
    <row r="44" spans="1:3" ht="15">
      <c r="A44" s="4"/>
      <c r="C44" s="13"/>
    </row>
    <row r="45" spans="1:3" ht="15">
      <c r="A45" s="4"/>
      <c r="C45" s="13"/>
    </row>
    <row r="46" spans="1:3" ht="15">
      <c r="A46" s="4"/>
      <c r="C46" s="13"/>
    </row>
    <row r="47" spans="1:3" ht="15">
      <c r="A47" s="4"/>
      <c r="C47" s="13"/>
    </row>
    <row r="48" spans="1:3" ht="15">
      <c r="A48" s="4"/>
      <c r="C48" s="13"/>
    </row>
    <row r="49" spans="1:3" ht="15">
      <c r="A49" s="4"/>
      <c r="C49" s="13"/>
    </row>
    <row r="50" spans="1:3" ht="15">
      <c r="A50" s="4"/>
      <c r="C50" s="13"/>
    </row>
    <row r="51" spans="1:3" ht="15">
      <c r="A51" s="4"/>
      <c r="C51" s="13"/>
    </row>
    <row r="52" spans="1:3" ht="15">
      <c r="A52" s="4"/>
      <c r="C52" s="13"/>
    </row>
    <row r="53" spans="1:3" ht="15">
      <c r="A53" s="4"/>
      <c r="C53" s="13"/>
    </row>
    <row r="54" spans="1:3" ht="15">
      <c r="A54" s="4"/>
      <c r="C54" s="13"/>
    </row>
    <row r="55" spans="1:3" ht="15">
      <c r="A55" s="4"/>
      <c r="C55" s="13"/>
    </row>
    <row r="56" spans="1:3" ht="15">
      <c r="A56" s="4"/>
      <c r="C56" s="1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7"/>
  <sheetViews>
    <sheetView tabSelected="1" workbookViewId="0" topLeftCell="A1"/>
  </sheetViews>
  <sheetFormatPr defaultColWidth="9.140625" defaultRowHeight="15"/>
  <cols>
    <col min="1" max="1" width="1.57421875" style="41" customWidth="1"/>
    <col min="2" max="2" width="22.140625" style="41" bestFit="1" customWidth="1"/>
    <col min="3" max="3" width="10.57421875" style="41" bestFit="1" customWidth="1"/>
    <col min="4" max="4" width="12.00390625" style="41" bestFit="1" customWidth="1"/>
    <col min="5" max="5" width="9.140625" style="41" hidden="1" customWidth="1"/>
    <col min="6" max="6" width="2.8515625" style="41" customWidth="1"/>
    <col min="7" max="7" width="17.421875" style="41" bestFit="1" customWidth="1"/>
    <col min="8" max="8" width="12.8515625" style="41" bestFit="1" customWidth="1"/>
    <col min="9" max="9" width="5.7109375" style="41" customWidth="1"/>
    <col min="10" max="10" width="12.00390625" style="41" bestFit="1" customWidth="1"/>
    <col min="11" max="11" width="3.140625" style="41" customWidth="1"/>
    <col min="12" max="12" width="24.7109375" style="41" bestFit="1" customWidth="1"/>
    <col min="13" max="13" width="9.8515625" style="41" customWidth="1"/>
    <col min="14" max="14" width="4.57421875" style="41" bestFit="1" customWidth="1"/>
    <col min="15" max="16384" width="9.140625" style="41" customWidth="1"/>
  </cols>
  <sheetData>
    <row r="1" ht="9.75" customHeight="1"/>
    <row r="2" spans="2:14" ht="15">
      <c r="B2" s="42" t="s">
        <v>45</v>
      </c>
      <c r="C2" s="42" t="s">
        <v>31</v>
      </c>
      <c r="D2" s="42" t="s">
        <v>43</v>
      </c>
      <c r="E2" s="41">
        <v>365</v>
      </c>
      <c r="G2" s="42" t="s">
        <v>187</v>
      </c>
      <c r="H2" s="42" t="s">
        <v>46</v>
      </c>
      <c r="I2" s="42" t="s">
        <v>47</v>
      </c>
      <c r="J2" s="42" t="s">
        <v>43</v>
      </c>
      <c r="L2" s="43" t="s">
        <v>193</v>
      </c>
      <c r="M2" s="79">
        <v>50000</v>
      </c>
      <c r="N2" s="82" t="s">
        <v>69</v>
      </c>
    </row>
    <row r="3" spans="2:14" ht="15">
      <c r="B3" s="43" t="s">
        <v>0</v>
      </c>
      <c r="C3" s="44">
        <v>50000</v>
      </c>
      <c r="D3" s="45">
        <f aca="true" t="shared" si="0" ref="D3:D9">C3/$E$2</f>
        <v>136.986301369863</v>
      </c>
      <c r="E3" s="46"/>
      <c r="F3" s="46"/>
      <c r="G3" s="43" t="s">
        <v>41</v>
      </c>
      <c r="H3" s="47">
        <f>(Vancouver!D6)*-1</f>
        <v>-747.7300000000001</v>
      </c>
      <c r="I3" s="43">
        <f>Vancouver!D5</f>
        <v>6</v>
      </c>
      <c r="J3" s="48">
        <f>Vancouver!D7</f>
        <v>124.62166666666668</v>
      </c>
      <c r="L3" s="43" t="s">
        <v>192</v>
      </c>
      <c r="M3" s="79">
        <f>C8+H11</f>
        <v>-13431.160331930809</v>
      </c>
      <c r="N3" s="81">
        <f>-M3/M2</f>
        <v>0.26862320663861616</v>
      </c>
    </row>
    <row r="4" spans="2:14" ht="15">
      <c r="B4" s="43" t="s">
        <v>1</v>
      </c>
      <c r="C4" s="44">
        <v>-600</v>
      </c>
      <c r="D4" s="45">
        <f t="shared" si="0"/>
        <v>-1.643835616438356</v>
      </c>
      <c r="E4" s="46"/>
      <c r="F4" s="46"/>
      <c r="G4" s="43" t="s">
        <v>42</v>
      </c>
      <c r="H4" s="47">
        <f>('HK-Macau'!E5)*-1</f>
        <v>-1070.5761290322578</v>
      </c>
      <c r="I4" s="43">
        <f>'HK-Macau'!E4</f>
        <v>9</v>
      </c>
      <c r="J4" s="48">
        <f>'HK-Macau'!E6</f>
        <v>118.95290322580642</v>
      </c>
      <c r="L4" s="43" t="s">
        <v>130</v>
      </c>
      <c r="M4" s="79">
        <f>D28</f>
        <v>2572.35</v>
      </c>
      <c r="N4" s="43"/>
    </row>
    <row r="5" spans="2:14" ht="15">
      <c r="B5" s="43" t="s">
        <v>2</v>
      </c>
      <c r="C5" s="44">
        <v>-1500</v>
      </c>
      <c r="D5" s="45">
        <f t="shared" si="0"/>
        <v>-4.109589041095891</v>
      </c>
      <c r="E5" s="46"/>
      <c r="F5" s="46"/>
      <c r="G5" s="43" t="s">
        <v>194</v>
      </c>
      <c r="H5" s="47">
        <f>-'M China'!$E$5</f>
        <v>-2277.7200000000003</v>
      </c>
      <c r="I5" s="43">
        <f>'M China'!$E$4</f>
        <v>30</v>
      </c>
      <c r="J5" s="48">
        <f>'M China'!$E$6</f>
        <v>75.924</v>
      </c>
      <c r="L5" s="43" t="s">
        <v>196</v>
      </c>
      <c r="M5" s="79">
        <f>H12+M4</f>
        <v>37672.53966806919</v>
      </c>
      <c r="N5" s="81">
        <v>0.75</v>
      </c>
    </row>
    <row r="6" spans="2:14" ht="15">
      <c r="B6" s="43" t="s">
        <v>3</v>
      </c>
      <c r="C6" s="44">
        <v>-260</v>
      </c>
      <c r="D6" s="45">
        <f t="shared" si="0"/>
        <v>-0.7123287671232876</v>
      </c>
      <c r="E6" s="46"/>
      <c r="F6" s="46"/>
      <c r="G6" s="43" t="s">
        <v>90</v>
      </c>
      <c r="H6" s="47">
        <f>-Vietnam!$J$6</f>
        <v>-1825.0500000000002</v>
      </c>
      <c r="I6" s="43">
        <f>Vietnam!$J$5</f>
        <v>39</v>
      </c>
      <c r="J6" s="48">
        <f>Vietnam!$J$7</f>
        <v>46.79615384615385</v>
      </c>
      <c r="L6" s="43" t="s">
        <v>50</v>
      </c>
      <c r="M6" s="80">
        <f>I11</f>
        <v>139</v>
      </c>
      <c r="N6" s="81">
        <f>M6/365</f>
        <v>0.38082191780821917</v>
      </c>
    </row>
    <row r="7" spans="2:14" ht="15.75" thickBot="1">
      <c r="B7" s="49" t="s">
        <v>4</v>
      </c>
      <c r="C7" s="50">
        <f>(518*2)*-1</f>
        <v>-1036</v>
      </c>
      <c r="D7" s="51">
        <f t="shared" si="0"/>
        <v>-2.8383561643835615</v>
      </c>
      <c r="E7" s="46"/>
      <c r="F7" s="46"/>
      <c r="G7" s="43" t="s">
        <v>116</v>
      </c>
      <c r="H7" s="47">
        <f>-Cambodia!$E$5</f>
        <v>-862.5</v>
      </c>
      <c r="I7" s="43">
        <f>Cambodia!$E$4</f>
        <v>17</v>
      </c>
      <c r="J7" s="48">
        <f>Cambodia!$E$6</f>
        <v>50.73529411764706</v>
      </c>
      <c r="L7" s="43" t="s">
        <v>48</v>
      </c>
      <c r="M7" s="80">
        <f>I12</f>
        <v>226</v>
      </c>
      <c r="N7" s="43"/>
    </row>
    <row r="8" spans="2:10" ht="15.75" thickTop="1">
      <c r="B8" s="52" t="s">
        <v>49</v>
      </c>
      <c r="C8" s="53">
        <f>SUM(C4:C7)</f>
        <v>-3396</v>
      </c>
      <c r="D8" s="54">
        <f t="shared" si="0"/>
        <v>-9.304109589041095</v>
      </c>
      <c r="G8" s="43" t="s">
        <v>135</v>
      </c>
      <c r="H8" s="47">
        <f>-Thailand!$J$5</f>
        <v>-805.2884848484849</v>
      </c>
      <c r="I8" s="43">
        <f>Thailand!$J$4</f>
        <v>12</v>
      </c>
      <c r="J8" s="48">
        <f>Thailand!$J$6</f>
        <v>67.10737373737375</v>
      </c>
    </row>
    <row r="9" spans="2:13" ht="15" customHeight="1">
      <c r="B9" s="42" t="s">
        <v>44</v>
      </c>
      <c r="C9" s="47">
        <f>C3+SUM(C4:C7)</f>
        <v>46604</v>
      </c>
      <c r="D9" s="45">
        <f t="shared" si="0"/>
        <v>127.68219178082192</v>
      </c>
      <c r="E9" s="46"/>
      <c r="F9" s="46"/>
      <c r="G9" s="43" t="s">
        <v>195</v>
      </c>
      <c r="H9" s="47">
        <f>-'M China (2)'!G5</f>
        <v>-1131.1515151515152</v>
      </c>
      <c r="I9" s="43">
        <f>'M China (2)'!G4</f>
        <v>14</v>
      </c>
      <c r="J9" s="48">
        <f>'M China (2)'!G6</f>
        <v>80.7965367965368</v>
      </c>
      <c r="L9" s="43" t="s">
        <v>51</v>
      </c>
      <c r="M9" s="45">
        <f>Budgeting!C8</f>
        <v>102.14575342465754</v>
      </c>
    </row>
    <row r="10" spans="7:13" ht="15.75" thickBot="1">
      <c r="G10" s="49" t="s">
        <v>157</v>
      </c>
      <c r="H10" s="55">
        <f>-'South Korea'!J5</f>
        <v>-1315.1442028985505</v>
      </c>
      <c r="I10" s="49">
        <f>'South Korea'!J4</f>
        <v>12</v>
      </c>
      <c r="J10" s="56">
        <f>'South Korea'!J6</f>
        <v>109.59535024154587</v>
      </c>
      <c r="L10" s="43" t="s">
        <v>52</v>
      </c>
      <c r="M10" s="45">
        <f>J11</f>
        <v>72.19539807144467</v>
      </c>
    </row>
    <row r="11" spans="2:13" ht="15.75" thickTop="1">
      <c r="B11" s="58" t="s">
        <v>114</v>
      </c>
      <c r="C11" s="59" t="s">
        <v>39</v>
      </c>
      <c r="D11" s="60" t="s">
        <v>31</v>
      </c>
      <c r="G11" s="78" t="s">
        <v>31</v>
      </c>
      <c r="H11" s="62">
        <f>SUM(H3:H10)</f>
        <v>-10035.160331930809</v>
      </c>
      <c r="I11" s="61">
        <f>SUM(I3:I10)</f>
        <v>139</v>
      </c>
      <c r="J11" s="63">
        <f>-H11/I11</f>
        <v>72.19539807144467</v>
      </c>
      <c r="M11" s="57"/>
    </row>
    <row r="12" spans="2:13" ht="15">
      <c r="B12" s="64" t="s">
        <v>115</v>
      </c>
      <c r="C12" s="65">
        <v>40177</v>
      </c>
      <c r="D12" s="66">
        <v>-50</v>
      </c>
      <c r="E12" s="46"/>
      <c r="F12" s="46"/>
      <c r="G12" s="42" t="s">
        <v>40</v>
      </c>
      <c r="H12" s="47">
        <f>C9+H11+D20</f>
        <v>35100.18966806919</v>
      </c>
      <c r="I12" s="43">
        <f>365-I11</f>
        <v>226</v>
      </c>
      <c r="J12" s="45">
        <f>H12/I12</f>
        <v>155.31057375251856</v>
      </c>
      <c r="M12" s="57"/>
    </row>
    <row r="13" spans="2:6" ht="15">
      <c r="B13" s="64" t="s">
        <v>124</v>
      </c>
      <c r="C13" s="65">
        <v>40190</v>
      </c>
      <c r="D13" s="66">
        <v>-161.85</v>
      </c>
      <c r="E13" s="46"/>
      <c r="F13" s="46"/>
    </row>
    <row r="14" spans="2:6" ht="15">
      <c r="B14" s="64" t="s">
        <v>150</v>
      </c>
      <c r="C14" s="65">
        <v>40199</v>
      </c>
      <c r="D14" s="66">
        <v>-168.29</v>
      </c>
      <c r="E14" s="46"/>
      <c r="F14" s="46"/>
    </row>
    <row r="15" spans="2:4" ht="15">
      <c r="B15" s="64" t="s">
        <v>155</v>
      </c>
      <c r="C15" s="65">
        <v>40206</v>
      </c>
      <c r="D15" s="66">
        <v>-25</v>
      </c>
    </row>
    <row r="16" spans="2:4" ht="15">
      <c r="B16" s="64" t="s">
        <v>129</v>
      </c>
      <c r="C16" s="65">
        <v>40211</v>
      </c>
      <c r="D16" s="66">
        <v>-879.32</v>
      </c>
    </row>
    <row r="17" spans="2:4" ht="15">
      <c r="B17" s="64" t="s">
        <v>108</v>
      </c>
      <c r="C17" s="65">
        <v>40204</v>
      </c>
      <c r="D17" s="66">
        <v>-2.95</v>
      </c>
    </row>
    <row r="18" spans="2:4" ht="15">
      <c r="B18" s="67" t="s">
        <v>108</v>
      </c>
      <c r="C18" s="68">
        <v>40231</v>
      </c>
      <c r="D18" s="69">
        <f>-10-2.95</f>
        <v>-12.95</v>
      </c>
    </row>
    <row r="19" spans="2:4" ht="15.75" thickBot="1">
      <c r="B19" s="70" t="s">
        <v>150</v>
      </c>
      <c r="C19" s="71">
        <v>40231</v>
      </c>
      <c r="D19" s="72">
        <v>-168.29</v>
      </c>
    </row>
    <row r="20" spans="2:4" ht="16.5" thickBot="1" thickTop="1">
      <c r="B20" s="73" t="s">
        <v>119</v>
      </c>
      <c r="C20" s="74"/>
      <c r="D20" s="75">
        <f>SUM(D12:D19)</f>
        <v>-1468.65</v>
      </c>
    </row>
    <row r="21" ht="16.5" customHeight="1" thickBot="1"/>
    <row r="22" spans="2:4" ht="15">
      <c r="B22" s="58" t="s">
        <v>130</v>
      </c>
      <c r="C22" s="59" t="s">
        <v>39</v>
      </c>
      <c r="D22" s="60" t="s">
        <v>31</v>
      </c>
    </row>
    <row r="23" spans="2:4" ht="15">
      <c r="B23" s="64" t="s">
        <v>131</v>
      </c>
      <c r="C23" s="65">
        <v>40206</v>
      </c>
      <c r="D23" s="66">
        <v>225.9</v>
      </c>
    </row>
    <row r="24" spans="2:4" ht="15">
      <c r="B24" s="64" t="s">
        <v>133</v>
      </c>
      <c r="C24" s="65">
        <v>40207</v>
      </c>
      <c r="D24" s="66">
        <f>21.81+2.83</f>
        <v>24.64</v>
      </c>
    </row>
    <row r="25" spans="2:4" ht="15">
      <c r="B25" s="64" t="s">
        <v>131</v>
      </c>
      <c r="C25" s="65">
        <v>40233</v>
      </c>
      <c r="D25" s="66">
        <v>14.04</v>
      </c>
    </row>
    <row r="26" spans="2:4" ht="15">
      <c r="B26" s="64" t="s">
        <v>133</v>
      </c>
      <c r="C26" s="65">
        <v>40235</v>
      </c>
      <c r="D26" s="66">
        <f>1.67+9.1</f>
        <v>10.77</v>
      </c>
    </row>
    <row r="27" spans="2:4" ht="15.75" thickBot="1">
      <c r="B27" s="70" t="s">
        <v>186</v>
      </c>
      <c r="C27" s="71">
        <v>40242</v>
      </c>
      <c r="D27" s="72">
        <v>2297</v>
      </c>
    </row>
    <row r="28" spans="2:4" ht="16.5" thickBot="1" thickTop="1">
      <c r="B28" s="73" t="s">
        <v>132</v>
      </c>
      <c r="C28" s="74"/>
      <c r="D28" s="75">
        <f>SUM(D23:D27)</f>
        <v>2572.35</v>
      </c>
    </row>
    <row r="57" spans="2:4" ht="15">
      <c r="B57" s="76"/>
      <c r="C57" s="77"/>
      <c r="D57" s="77"/>
    </row>
  </sheetData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9" sqref="D9"/>
    </sheetView>
  </sheetViews>
  <sheetFormatPr defaultColWidth="9.140625" defaultRowHeight="15"/>
  <cols>
    <col min="1" max="1" width="46.7109375" style="0" bestFit="1" customWidth="1"/>
    <col min="4" max="4" width="9.00390625" style="0" bestFit="1" customWidth="1"/>
    <col min="5" max="5" width="15.421875" style="0" bestFit="1" customWidth="1"/>
  </cols>
  <sheetData>
    <row r="1" spans="1:2" ht="15">
      <c r="A1" s="5" t="s">
        <v>36</v>
      </c>
      <c r="B1" s="5" t="s">
        <v>37</v>
      </c>
    </row>
    <row r="2" spans="1:2" ht="15">
      <c r="A2" t="s">
        <v>26</v>
      </c>
      <c r="B2" s="1">
        <v>14.04</v>
      </c>
    </row>
    <row r="3" spans="1:5" ht="15">
      <c r="A3" t="s">
        <v>21</v>
      </c>
      <c r="B3" s="1">
        <v>4.97</v>
      </c>
      <c r="D3" s="4">
        <v>40105</v>
      </c>
      <c r="E3" t="s">
        <v>34</v>
      </c>
    </row>
    <row r="4" spans="1:5" ht="15">
      <c r="A4" s="2" t="s">
        <v>5</v>
      </c>
      <c r="B4" s="1">
        <v>23.77</v>
      </c>
      <c r="D4" s="4">
        <v>40111</v>
      </c>
      <c r="E4" t="s">
        <v>35</v>
      </c>
    </row>
    <row r="5" spans="1:5" ht="15">
      <c r="A5" s="2" t="s">
        <v>6</v>
      </c>
      <c r="B5" s="1">
        <v>4.4</v>
      </c>
      <c r="D5">
        <f>D4-D3</f>
        <v>6</v>
      </c>
      <c r="E5" t="s">
        <v>32</v>
      </c>
    </row>
    <row r="6" spans="1:6" ht="15">
      <c r="A6" s="2" t="s">
        <v>7</v>
      </c>
      <c r="B6" s="1">
        <v>63.09</v>
      </c>
      <c r="D6" s="3">
        <f>B22</f>
        <v>747.7300000000001</v>
      </c>
      <c r="E6" t="s">
        <v>31</v>
      </c>
      <c r="F6" s="4"/>
    </row>
    <row r="7" spans="1:5" ht="15">
      <c r="A7" s="2" t="s">
        <v>8</v>
      </c>
      <c r="B7" s="1">
        <v>6.8</v>
      </c>
      <c r="D7" s="3">
        <f>B22/D5</f>
        <v>124.62166666666668</v>
      </c>
      <c r="E7" t="s">
        <v>38</v>
      </c>
    </row>
    <row r="8" spans="1:2" ht="15">
      <c r="A8" s="2" t="s">
        <v>9</v>
      </c>
      <c r="B8" s="1">
        <v>10</v>
      </c>
    </row>
    <row r="9" spans="1:6" ht="15">
      <c r="A9" s="2" t="s">
        <v>10</v>
      </c>
      <c r="B9" s="1">
        <v>2.06</v>
      </c>
      <c r="E9" t="s">
        <v>188</v>
      </c>
      <c r="F9" s="2">
        <v>50</v>
      </c>
    </row>
    <row r="10" spans="1:6" ht="15">
      <c r="A10" t="s">
        <v>10</v>
      </c>
      <c r="B10" s="1">
        <v>9.55</v>
      </c>
      <c r="E10" t="s">
        <v>169</v>
      </c>
      <c r="F10" s="2">
        <v>40</v>
      </c>
    </row>
    <row r="11" spans="1:6" ht="15">
      <c r="A11" t="s">
        <v>11</v>
      </c>
      <c r="B11" s="1">
        <v>13.94</v>
      </c>
      <c r="E11" t="s">
        <v>190</v>
      </c>
      <c r="F11" s="2">
        <v>10</v>
      </c>
    </row>
    <row r="12" spans="1:6" ht="15">
      <c r="A12" t="s">
        <v>12</v>
      </c>
      <c r="B12" s="1">
        <v>8.85</v>
      </c>
      <c r="E12" t="s">
        <v>189</v>
      </c>
      <c r="F12" s="2">
        <v>20</v>
      </c>
    </row>
    <row r="13" spans="1:6" ht="15">
      <c r="A13" t="s">
        <v>13</v>
      </c>
      <c r="B13" s="1">
        <v>10.68</v>
      </c>
      <c r="F13" s="2">
        <f>SUM(F9:F12)</f>
        <v>120</v>
      </c>
    </row>
    <row r="14" spans="1:2" ht="15">
      <c r="A14" t="s">
        <v>14</v>
      </c>
      <c r="B14" s="1">
        <v>14.65</v>
      </c>
    </row>
    <row r="15" spans="1:2" ht="15">
      <c r="A15" t="s">
        <v>15</v>
      </c>
      <c r="B15" s="1">
        <v>8.6</v>
      </c>
    </row>
    <row r="16" spans="1:2" ht="15">
      <c r="A16" t="s">
        <v>16</v>
      </c>
      <c r="B16" s="1">
        <v>30.65</v>
      </c>
    </row>
    <row r="17" spans="1:2" ht="15">
      <c r="A17" t="s">
        <v>17</v>
      </c>
      <c r="B17" s="1">
        <v>197.3</v>
      </c>
    </row>
    <row r="18" spans="1:2" ht="15">
      <c r="A18" t="s">
        <v>18</v>
      </c>
      <c r="B18" s="1">
        <v>22.89</v>
      </c>
    </row>
    <row r="19" spans="1:2" ht="15">
      <c r="A19" t="s">
        <v>19</v>
      </c>
      <c r="B19" s="1">
        <v>99.71</v>
      </c>
    </row>
    <row r="20" spans="1:2" ht="15">
      <c r="A20" t="s">
        <v>20</v>
      </c>
      <c r="B20" s="1">
        <v>7.7</v>
      </c>
    </row>
    <row r="21" spans="1:2" ht="15.75" thickBot="1">
      <c r="A21" s="7" t="s">
        <v>22</v>
      </c>
      <c r="B21" s="6">
        <v>194.08</v>
      </c>
    </row>
    <row r="22" spans="1:2" ht="15.75" thickTop="1">
      <c r="A22" s="5" t="s">
        <v>31</v>
      </c>
      <c r="B22" s="1">
        <f>SUM(B2:B21)</f>
        <v>747.7300000000001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5" sqref="G15"/>
    </sheetView>
  </sheetViews>
  <sheetFormatPr defaultColWidth="9.140625" defaultRowHeight="15"/>
  <cols>
    <col min="2" max="2" width="25.28125" style="0" bestFit="1" customWidth="1"/>
    <col min="3" max="3" width="10.57421875" style="0" bestFit="1" customWidth="1"/>
    <col min="5" max="5" width="10.57421875" style="0" bestFit="1" customWidth="1"/>
    <col min="6" max="6" width="15.14062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29</v>
      </c>
      <c r="C2" s="1">
        <v>33.11</v>
      </c>
      <c r="E2" s="4">
        <f>Vancouver!D4</f>
        <v>40111</v>
      </c>
      <c r="F2" t="s">
        <v>34</v>
      </c>
    </row>
    <row r="3" spans="1:6" ht="15">
      <c r="A3" s="4">
        <v>40116</v>
      </c>
      <c r="B3" t="s">
        <v>27</v>
      </c>
      <c r="C3" s="1">
        <v>90.32</v>
      </c>
      <c r="E3" s="4">
        <v>40120</v>
      </c>
      <c r="F3" t="s">
        <v>35</v>
      </c>
    </row>
    <row r="4" spans="1:6" ht="15">
      <c r="A4" s="4">
        <v>40116</v>
      </c>
      <c r="B4" t="s">
        <v>28</v>
      </c>
      <c r="C4" s="1">
        <v>26.97</v>
      </c>
      <c r="E4">
        <f>E3-E2</f>
        <v>9</v>
      </c>
      <c r="F4" t="s">
        <v>32</v>
      </c>
    </row>
    <row r="5" spans="1:6" ht="15">
      <c r="A5" s="4">
        <v>40115</v>
      </c>
      <c r="B5" t="s">
        <v>30</v>
      </c>
      <c r="C5" s="1">
        <v>2.84</v>
      </c>
      <c r="E5" s="3">
        <f>C15</f>
        <v>1070.5761290322578</v>
      </c>
      <c r="F5" t="s">
        <v>31</v>
      </c>
    </row>
    <row r="6" spans="1:6" ht="15">
      <c r="A6" s="4">
        <v>40112</v>
      </c>
      <c r="B6" t="s">
        <v>22</v>
      </c>
      <c r="C6" s="1">
        <v>193.56</v>
      </c>
      <c r="E6" s="3">
        <f>C15/E4</f>
        <v>118.95290322580642</v>
      </c>
      <c r="F6" t="s">
        <v>38</v>
      </c>
    </row>
    <row r="7" spans="1:3" ht="15">
      <c r="A7" s="4">
        <v>40113</v>
      </c>
      <c r="B7" t="s">
        <v>22</v>
      </c>
      <c r="C7" s="1">
        <v>193.56</v>
      </c>
    </row>
    <row r="8" spans="1:7" ht="15">
      <c r="A8" s="4">
        <v>40115</v>
      </c>
      <c r="B8" t="s">
        <v>22</v>
      </c>
      <c r="C8" s="1">
        <v>129.04</v>
      </c>
      <c r="F8" t="s">
        <v>188</v>
      </c>
      <c r="G8" s="2">
        <v>50</v>
      </c>
    </row>
    <row r="9" spans="1:7" ht="15">
      <c r="A9" s="4">
        <v>40116</v>
      </c>
      <c r="B9" t="s">
        <v>22</v>
      </c>
      <c r="C9" s="1">
        <v>129.04</v>
      </c>
      <c r="F9" t="s">
        <v>169</v>
      </c>
      <c r="G9" s="2">
        <v>30</v>
      </c>
    </row>
    <row r="10" spans="1:7" ht="15">
      <c r="A10" s="4">
        <v>40117</v>
      </c>
      <c r="B10" t="s">
        <v>22</v>
      </c>
      <c r="C10" s="1">
        <v>129.04</v>
      </c>
      <c r="F10" t="s">
        <v>190</v>
      </c>
      <c r="G10" s="2">
        <v>10</v>
      </c>
    </row>
    <row r="11" spans="1:7" ht="15">
      <c r="A11" s="4">
        <v>40118</v>
      </c>
      <c r="B11" t="s">
        <v>22</v>
      </c>
      <c r="C11" s="1">
        <v>129.04</v>
      </c>
      <c r="F11" t="s">
        <v>189</v>
      </c>
      <c r="G11" s="2">
        <v>20</v>
      </c>
    </row>
    <row r="12" spans="1:7" ht="15">
      <c r="A12" s="4">
        <v>40118</v>
      </c>
      <c r="B12" t="s">
        <v>23</v>
      </c>
      <c r="C12" s="1">
        <v>45.03</v>
      </c>
      <c r="G12" s="2">
        <f>SUM(G8:G11)</f>
        <v>110</v>
      </c>
    </row>
    <row r="13" spans="1:3" ht="15">
      <c r="A13" s="4">
        <v>40119</v>
      </c>
      <c r="B13" t="s">
        <v>22</v>
      </c>
      <c r="C13" s="1">
        <v>64.51</v>
      </c>
    </row>
    <row r="14" spans="1:3" ht="15.75" thickBot="1">
      <c r="A14" s="4"/>
      <c r="B14" t="s">
        <v>24</v>
      </c>
      <c r="C14" s="6">
        <f>-740/7.75</f>
        <v>-95.48387096774194</v>
      </c>
    </row>
    <row r="15" spans="2:3" ht="15.75" thickTop="1">
      <c r="B15" s="5" t="s">
        <v>31</v>
      </c>
      <c r="C15" s="3">
        <f>SUM(C2:C14)</f>
        <v>1070.5761290322578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8" sqref="F8:G12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5" max="5" width="10.57421875" style="0" bestFit="1" customWidth="1"/>
    <col min="6" max="6" width="15.42187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25</v>
      </c>
      <c r="C2" s="1">
        <v>80</v>
      </c>
      <c r="E2" s="4">
        <f>'HK-Macau'!E3</f>
        <v>40120</v>
      </c>
      <c r="F2" t="s">
        <v>34</v>
      </c>
    </row>
    <row r="3" spans="1:6" ht="15">
      <c r="A3" s="4">
        <v>40121</v>
      </c>
      <c r="B3" t="s">
        <v>62</v>
      </c>
      <c r="C3" s="1">
        <v>102.78</v>
      </c>
      <c r="E3" s="4">
        <v>40150</v>
      </c>
      <c r="F3" t="s">
        <v>35</v>
      </c>
    </row>
    <row r="4" spans="1:6" ht="15">
      <c r="A4" s="4">
        <v>40122</v>
      </c>
      <c r="B4" t="s">
        <v>63</v>
      </c>
      <c r="C4" s="1">
        <v>102.78</v>
      </c>
      <c r="E4">
        <f>E3-E2</f>
        <v>30</v>
      </c>
      <c r="F4" t="s">
        <v>32</v>
      </c>
    </row>
    <row r="5" spans="1:6" ht="15">
      <c r="A5" s="4">
        <v>40119</v>
      </c>
      <c r="B5" t="s">
        <v>33</v>
      </c>
      <c r="C5" s="12">
        <v>18.22</v>
      </c>
      <c r="E5" s="3">
        <f>C33</f>
        <v>2277.7200000000003</v>
      </c>
      <c r="F5" t="s">
        <v>31</v>
      </c>
    </row>
    <row r="6" spans="1:6" ht="15">
      <c r="A6" s="4">
        <v>40123</v>
      </c>
      <c r="B6" t="s">
        <v>64</v>
      </c>
      <c r="C6" s="13">
        <v>102.78</v>
      </c>
      <c r="E6" s="3">
        <f>C33/E4</f>
        <v>75.924</v>
      </c>
      <c r="F6" t="s">
        <v>38</v>
      </c>
    </row>
    <row r="7" spans="1:3" ht="15">
      <c r="A7" s="4">
        <v>40124</v>
      </c>
      <c r="B7" t="s">
        <v>63</v>
      </c>
      <c r="C7" s="13">
        <v>102.78</v>
      </c>
    </row>
    <row r="8" spans="1:7" ht="15">
      <c r="A8" s="4">
        <v>40126</v>
      </c>
      <c r="B8" t="s">
        <v>64</v>
      </c>
      <c r="C8" s="13">
        <v>73.42</v>
      </c>
      <c r="F8" t="s">
        <v>188</v>
      </c>
      <c r="G8" s="2">
        <v>30</v>
      </c>
    </row>
    <row r="9" spans="1:7" ht="15">
      <c r="A9" s="4">
        <v>40128</v>
      </c>
      <c r="B9" t="s">
        <v>64</v>
      </c>
      <c r="C9" s="13">
        <v>73.42</v>
      </c>
      <c r="F9" t="s">
        <v>169</v>
      </c>
      <c r="G9" s="2">
        <v>20</v>
      </c>
    </row>
    <row r="10" spans="1:7" ht="15">
      <c r="A10" s="4">
        <v>40130</v>
      </c>
      <c r="B10" t="s">
        <v>64</v>
      </c>
      <c r="C10" s="13">
        <v>73.42</v>
      </c>
      <c r="F10" t="s">
        <v>190</v>
      </c>
      <c r="G10" s="2">
        <v>15</v>
      </c>
    </row>
    <row r="11" spans="1:7" ht="15">
      <c r="A11" s="4">
        <v>40131</v>
      </c>
      <c r="B11" t="s">
        <v>64</v>
      </c>
      <c r="C11" s="13">
        <v>73.42</v>
      </c>
      <c r="F11" t="s">
        <v>189</v>
      </c>
      <c r="G11" s="2">
        <v>10</v>
      </c>
    </row>
    <row r="12" spans="1:7" ht="15">
      <c r="A12" s="4">
        <v>40124</v>
      </c>
      <c r="B12" t="s">
        <v>65</v>
      </c>
      <c r="C12" s="13">
        <v>7.19</v>
      </c>
      <c r="G12" s="2">
        <f>SUM(G8:G11)</f>
        <v>75</v>
      </c>
    </row>
    <row r="13" spans="1:3" ht="15">
      <c r="A13" s="4">
        <v>40127</v>
      </c>
      <c r="B13" t="s">
        <v>66</v>
      </c>
      <c r="C13" s="13">
        <v>3.7</v>
      </c>
    </row>
    <row r="14" spans="1:3" ht="15">
      <c r="A14" s="4">
        <v>40132</v>
      </c>
      <c r="B14" t="s">
        <v>71</v>
      </c>
      <c r="C14" s="13">
        <v>146.84</v>
      </c>
    </row>
    <row r="15" spans="1:3" ht="15">
      <c r="A15" s="4">
        <v>40134</v>
      </c>
      <c r="B15" t="s">
        <v>71</v>
      </c>
      <c r="C15" s="13">
        <v>146.84</v>
      </c>
    </row>
    <row r="16" spans="1:3" ht="15">
      <c r="A16" s="4">
        <v>40136</v>
      </c>
      <c r="B16" t="s">
        <v>71</v>
      </c>
      <c r="C16" s="13">
        <v>73.42</v>
      </c>
    </row>
    <row r="17" spans="1:3" ht="15">
      <c r="A17" s="4">
        <v>40136</v>
      </c>
      <c r="B17" t="s">
        <v>72</v>
      </c>
      <c r="C17" s="13">
        <v>169.08</v>
      </c>
    </row>
    <row r="18" spans="1:3" ht="15">
      <c r="A18" s="4">
        <v>40136</v>
      </c>
      <c r="B18" t="s">
        <v>81</v>
      </c>
      <c r="C18" s="13">
        <v>23.1</v>
      </c>
    </row>
    <row r="19" spans="1:3" ht="15">
      <c r="A19" s="4">
        <v>40137</v>
      </c>
      <c r="B19" t="s">
        <v>73</v>
      </c>
      <c r="C19" s="13">
        <v>12.63</v>
      </c>
    </row>
    <row r="20" spans="1:3" ht="15">
      <c r="A20" s="4">
        <v>40138</v>
      </c>
      <c r="B20" t="s">
        <v>71</v>
      </c>
      <c r="C20" s="13">
        <v>73.41</v>
      </c>
    </row>
    <row r="21" spans="1:3" ht="15">
      <c r="A21" s="4">
        <v>40138</v>
      </c>
      <c r="B21" t="s">
        <v>71</v>
      </c>
      <c r="C21" s="13">
        <v>73.41</v>
      </c>
    </row>
    <row r="22" spans="1:3" ht="15">
      <c r="A22" s="4">
        <v>40140</v>
      </c>
      <c r="B22" t="s">
        <v>71</v>
      </c>
      <c r="C22" s="13">
        <v>73.41</v>
      </c>
    </row>
    <row r="23" spans="1:3" ht="15">
      <c r="A23" s="4">
        <v>40141</v>
      </c>
      <c r="B23" t="s">
        <v>74</v>
      </c>
      <c r="C23" s="13">
        <v>73.41</v>
      </c>
    </row>
    <row r="24" spans="1:3" ht="15">
      <c r="A24" s="4">
        <v>40142</v>
      </c>
      <c r="B24" t="s">
        <v>75</v>
      </c>
      <c r="C24" s="13">
        <v>73.42</v>
      </c>
    </row>
    <row r="25" spans="1:3" ht="15">
      <c r="A25" s="4">
        <v>40142</v>
      </c>
      <c r="B25" t="s">
        <v>76</v>
      </c>
      <c r="C25" s="13">
        <v>73.42</v>
      </c>
    </row>
    <row r="26" spans="1:3" ht="15">
      <c r="A26" s="4">
        <v>40143</v>
      </c>
      <c r="B26" t="s">
        <v>77</v>
      </c>
      <c r="C26" s="13">
        <v>73.42</v>
      </c>
    </row>
    <row r="27" spans="1:3" ht="15">
      <c r="A27" s="4">
        <v>40145</v>
      </c>
      <c r="B27" t="s">
        <v>75</v>
      </c>
      <c r="C27" s="13">
        <v>73.42</v>
      </c>
    </row>
    <row r="28" spans="1:3" ht="15">
      <c r="A28" s="4">
        <v>40146</v>
      </c>
      <c r="B28" t="s">
        <v>78</v>
      </c>
      <c r="C28" s="13">
        <v>73.42</v>
      </c>
    </row>
    <row r="29" spans="1:3" ht="15">
      <c r="A29" s="4">
        <v>40147</v>
      </c>
      <c r="B29" t="s">
        <v>78</v>
      </c>
      <c r="C29" s="13">
        <v>73.42</v>
      </c>
    </row>
    <row r="30" spans="1:3" ht="15">
      <c r="A30" s="4">
        <v>40147</v>
      </c>
      <c r="B30" t="s">
        <v>82</v>
      </c>
      <c r="C30" s="13">
        <v>7.89</v>
      </c>
    </row>
    <row r="31" spans="1:3" ht="15">
      <c r="A31" s="4">
        <v>40149</v>
      </c>
      <c r="B31" t="s">
        <v>79</v>
      </c>
      <c r="C31" s="13">
        <v>29.37</v>
      </c>
    </row>
    <row r="32" spans="1:3" ht="15">
      <c r="A32" s="4">
        <v>40147</v>
      </c>
      <c r="B32" t="s">
        <v>80</v>
      </c>
      <c r="C32" s="13">
        <f>95.48+25</f>
        <v>120.48</v>
      </c>
    </row>
    <row r="33" ht="15">
      <c r="C33" s="3">
        <f>SUM(C2:C32)</f>
        <v>2277.7200000000003</v>
      </c>
    </row>
  </sheetData>
  <printOptions/>
  <pageMargins left="0.7" right="0.7" top="0.75" bottom="0.75" header="0.3" footer="0.3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C1">
      <selection activeCell="L13" sqref="K9:L13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6.140625" style="0" bestFit="1" customWidth="1"/>
    <col min="5" max="7" width="11.57421875" style="0" bestFit="1" customWidth="1"/>
    <col min="8" max="8" width="11.7109375" style="0" bestFit="1" customWidth="1"/>
    <col min="9" max="9" width="2.7109375" style="0" customWidth="1"/>
    <col min="10" max="10" width="10.57421875" style="0" bestFit="1" customWidth="1"/>
    <col min="11" max="11" width="15.14062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100</v>
      </c>
      <c r="E1" s="5" t="s">
        <v>101</v>
      </c>
      <c r="F1" s="5" t="s">
        <v>104</v>
      </c>
      <c r="G1" s="5" t="s">
        <v>102</v>
      </c>
      <c r="H1" s="5" t="s">
        <v>103</v>
      </c>
    </row>
    <row r="2" spans="1:8" ht="15">
      <c r="A2" s="4">
        <v>40147</v>
      </c>
      <c r="B2" t="s">
        <v>92</v>
      </c>
      <c r="C2" s="1">
        <v>7.89</v>
      </c>
      <c r="E2" s="32" t="str">
        <f>IF(D2&lt;&gt;"",D2/C2,"")</f>
        <v/>
      </c>
      <c r="G2" s="32" t="str">
        <f aca="true" t="shared" si="0" ref="G2">IF(F2&lt;&gt;"",(E2*C2+F2)/C2,"")</f>
        <v/>
      </c>
      <c r="H2" s="33" t="str">
        <f>IF(G2&lt;&gt;"",F2/G2,"")</f>
        <v/>
      </c>
    </row>
    <row r="3" spans="1:11" ht="15">
      <c r="A3" s="4">
        <v>40148</v>
      </c>
      <c r="B3" t="s">
        <v>91</v>
      </c>
      <c r="C3" s="1">
        <v>7.6</v>
      </c>
      <c r="E3" s="32" t="str">
        <f aca="true" t="shared" si="1" ref="E3:E32">IF(D3&lt;&gt;"",D3/C3,"")</f>
        <v/>
      </c>
      <c r="G3" s="32" t="str">
        <f aca="true" t="shared" si="2" ref="G3:G32">IF(F3&lt;&gt;"",(E3*C3+F3)/C3,"")</f>
        <v/>
      </c>
      <c r="H3" s="33" t="str">
        <f aca="true" t="shared" si="3" ref="H3:H32">IF(G3&lt;&gt;"",F3/G3,"")</f>
        <v/>
      </c>
      <c r="J3" s="4">
        <f>'M China'!E3</f>
        <v>40150</v>
      </c>
      <c r="K3" t="s">
        <v>34</v>
      </c>
    </row>
    <row r="4" spans="1:11" ht="15">
      <c r="A4" s="4">
        <v>40150</v>
      </c>
      <c r="B4" t="s">
        <v>83</v>
      </c>
      <c r="C4" s="1">
        <v>27.05</v>
      </c>
      <c r="D4" s="2">
        <v>500000</v>
      </c>
      <c r="E4" s="32">
        <f t="shared" si="1"/>
        <v>18484.288354898337</v>
      </c>
      <c r="F4" s="2">
        <v>0</v>
      </c>
      <c r="G4" s="32">
        <f t="shared" si="2"/>
        <v>18484.288354898337</v>
      </c>
      <c r="H4" s="33">
        <f t="shared" si="3"/>
        <v>0</v>
      </c>
      <c r="J4" s="4">
        <v>40189</v>
      </c>
      <c r="K4" t="s">
        <v>35</v>
      </c>
    </row>
    <row r="5" spans="1:11" ht="15">
      <c r="A5" s="4">
        <v>40151</v>
      </c>
      <c r="B5" t="s">
        <v>84</v>
      </c>
      <c r="C5" s="1">
        <v>27.05</v>
      </c>
      <c r="D5" s="2">
        <v>500000</v>
      </c>
      <c r="E5" s="32">
        <f t="shared" si="1"/>
        <v>18484.288354898337</v>
      </c>
      <c r="F5" s="2">
        <v>0</v>
      </c>
      <c r="G5" s="32">
        <f t="shared" si="2"/>
        <v>18484.288354898337</v>
      </c>
      <c r="H5" s="33">
        <f t="shared" si="3"/>
        <v>0</v>
      </c>
      <c r="J5">
        <f>J4-J3</f>
        <v>39</v>
      </c>
      <c r="K5" t="s">
        <v>32</v>
      </c>
    </row>
    <row r="6" spans="1:11" ht="15">
      <c r="A6" s="4">
        <v>40153</v>
      </c>
      <c r="B6" t="s">
        <v>85</v>
      </c>
      <c r="C6" s="12">
        <v>109.31</v>
      </c>
      <c r="D6" s="2">
        <v>2000000</v>
      </c>
      <c r="E6" s="32">
        <f t="shared" si="1"/>
        <v>18296.587686396488</v>
      </c>
      <c r="F6" s="2">
        <v>20000</v>
      </c>
      <c r="G6" s="32">
        <f t="shared" si="2"/>
        <v>18479.55356326045</v>
      </c>
      <c r="H6" s="33">
        <f t="shared" si="3"/>
        <v>1.0822772277227724</v>
      </c>
      <c r="J6" s="3">
        <f>C33-50</f>
        <v>1825.0500000000002</v>
      </c>
      <c r="K6" t="s">
        <v>31</v>
      </c>
    </row>
    <row r="7" spans="1:11" ht="15">
      <c r="A7" s="4">
        <v>40153</v>
      </c>
      <c r="B7" t="s">
        <v>86</v>
      </c>
      <c r="C7" s="13">
        <v>109.31</v>
      </c>
      <c r="D7" s="2">
        <v>2000000</v>
      </c>
      <c r="E7" s="32">
        <f t="shared" si="1"/>
        <v>18296.587686396488</v>
      </c>
      <c r="F7" s="2">
        <v>20000</v>
      </c>
      <c r="G7" s="32">
        <f t="shared" si="2"/>
        <v>18479.55356326045</v>
      </c>
      <c r="H7" s="33">
        <f t="shared" si="3"/>
        <v>1.0822772277227724</v>
      </c>
      <c r="J7" s="3">
        <f>J6/J5</f>
        <v>46.79615384615385</v>
      </c>
      <c r="K7" t="s">
        <v>38</v>
      </c>
    </row>
    <row r="8" spans="1:8" ht="15">
      <c r="A8" s="4">
        <v>40156</v>
      </c>
      <c r="B8" t="s">
        <v>87</v>
      </c>
      <c r="C8" s="13">
        <v>28.15</v>
      </c>
      <c r="D8" s="2">
        <v>500000</v>
      </c>
      <c r="E8" s="32">
        <f t="shared" si="1"/>
        <v>17761.989342806395</v>
      </c>
      <c r="F8" s="2">
        <v>20000</v>
      </c>
      <c r="G8" s="32">
        <f t="shared" si="2"/>
        <v>18472.46891651865</v>
      </c>
      <c r="H8" s="33">
        <f t="shared" si="3"/>
        <v>1.0826923076923076</v>
      </c>
    </row>
    <row r="9" spans="1:12" ht="15">
      <c r="A9" s="4">
        <v>40158</v>
      </c>
      <c r="B9" t="s">
        <v>87</v>
      </c>
      <c r="C9" s="13">
        <v>28.15</v>
      </c>
      <c r="D9" s="2">
        <v>500000</v>
      </c>
      <c r="E9" s="32">
        <f t="shared" si="1"/>
        <v>17761.989342806395</v>
      </c>
      <c r="F9" s="2">
        <v>20000</v>
      </c>
      <c r="G9" s="32">
        <f t="shared" si="2"/>
        <v>18472.46891651865</v>
      </c>
      <c r="H9" s="33">
        <f t="shared" si="3"/>
        <v>1.0826923076923076</v>
      </c>
      <c r="K9" t="s">
        <v>188</v>
      </c>
      <c r="L9" s="2">
        <v>18</v>
      </c>
    </row>
    <row r="10" spans="1:12" ht="15">
      <c r="A10" s="4">
        <v>40158</v>
      </c>
      <c r="B10" t="str">
        <f>"00001058"</f>
        <v>00001058</v>
      </c>
      <c r="C10" s="13">
        <v>55.21</v>
      </c>
      <c r="D10" s="2">
        <v>1000000</v>
      </c>
      <c r="E10" s="32">
        <f t="shared" si="1"/>
        <v>18112.660749864153</v>
      </c>
      <c r="F10" s="2">
        <v>20000</v>
      </c>
      <c r="G10" s="32">
        <f t="shared" si="2"/>
        <v>18474.913964861436</v>
      </c>
      <c r="H10" s="33">
        <f t="shared" si="3"/>
        <v>1.0825490196078433</v>
      </c>
      <c r="K10" t="s">
        <v>169</v>
      </c>
      <c r="L10" s="2">
        <v>10</v>
      </c>
    </row>
    <row r="11" spans="1:12" ht="15">
      <c r="A11" s="4">
        <v>40158</v>
      </c>
      <c r="B11" t="s">
        <v>105</v>
      </c>
      <c r="C11" s="13">
        <v>6</v>
      </c>
      <c r="D11" s="2"/>
      <c r="E11" s="32" t="str">
        <f t="shared" si="1"/>
        <v/>
      </c>
      <c r="F11" s="2"/>
      <c r="G11" s="32" t="str">
        <f t="shared" si="2"/>
        <v/>
      </c>
      <c r="H11" s="33" t="str">
        <f t="shared" si="3"/>
        <v/>
      </c>
      <c r="K11" t="s">
        <v>190</v>
      </c>
      <c r="L11" s="2">
        <v>10</v>
      </c>
    </row>
    <row r="12" spans="1:12" ht="15">
      <c r="A12" s="4">
        <v>40160</v>
      </c>
      <c r="B12" t="s">
        <v>88</v>
      </c>
      <c r="C12" s="13">
        <v>55.21</v>
      </c>
      <c r="D12" s="2">
        <v>1000000</v>
      </c>
      <c r="E12" s="32">
        <f t="shared" si="1"/>
        <v>18112.660749864153</v>
      </c>
      <c r="F12" s="2">
        <v>20000</v>
      </c>
      <c r="G12" s="32">
        <f t="shared" si="2"/>
        <v>18474.913964861436</v>
      </c>
      <c r="H12" s="33">
        <f t="shared" si="3"/>
        <v>1.0825490196078433</v>
      </c>
      <c r="K12" t="s">
        <v>189</v>
      </c>
      <c r="L12" s="2">
        <v>8</v>
      </c>
    </row>
    <row r="13" spans="1:12" ht="15">
      <c r="A13" s="4">
        <v>40161</v>
      </c>
      <c r="B13" t="s">
        <v>89</v>
      </c>
      <c r="C13" s="13">
        <v>55.21</v>
      </c>
      <c r="D13" s="2">
        <v>1000000</v>
      </c>
      <c r="E13" s="32">
        <f t="shared" si="1"/>
        <v>18112.660749864153</v>
      </c>
      <c r="F13" s="2">
        <v>20000</v>
      </c>
      <c r="G13" s="32">
        <f t="shared" si="2"/>
        <v>18474.913964861436</v>
      </c>
      <c r="H13" s="33">
        <f t="shared" si="3"/>
        <v>1.0825490196078433</v>
      </c>
      <c r="L13" s="2">
        <f>SUM(L9:L12)</f>
        <v>46</v>
      </c>
    </row>
    <row r="14" spans="1:8" ht="15">
      <c r="A14" s="4">
        <v>40161</v>
      </c>
      <c r="B14" t="s">
        <v>106</v>
      </c>
      <c r="C14" s="13">
        <v>5.2</v>
      </c>
      <c r="D14" s="2"/>
      <c r="E14" s="32" t="str">
        <f t="shared" si="1"/>
        <v/>
      </c>
      <c r="F14" s="2"/>
      <c r="G14" s="32" t="str">
        <f t="shared" si="2"/>
        <v/>
      </c>
      <c r="H14" s="33" t="str">
        <f t="shared" si="3"/>
        <v/>
      </c>
    </row>
    <row r="15" spans="1:8" ht="15">
      <c r="A15" s="4">
        <v>40161</v>
      </c>
      <c r="B15" t="s">
        <v>106</v>
      </c>
      <c r="C15" s="13">
        <v>6.6</v>
      </c>
      <c r="D15" s="2"/>
      <c r="E15" s="32" t="str">
        <f t="shared" si="1"/>
        <v/>
      </c>
      <c r="F15" s="2"/>
      <c r="G15" s="32" t="str">
        <f t="shared" si="2"/>
        <v/>
      </c>
      <c r="H15" s="33" t="str">
        <f t="shared" si="3"/>
        <v/>
      </c>
    </row>
    <row r="16" spans="1:8" ht="15">
      <c r="A16" s="4">
        <v>40163</v>
      </c>
      <c r="B16" t="s">
        <v>93</v>
      </c>
      <c r="C16" s="13">
        <v>55.21</v>
      </c>
      <c r="D16" s="2">
        <v>1000000</v>
      </c>
      <c r="E16" s="32">
        <f t="shared" si="1"/>
        <v>18112.660749864153</v>
      </c>
      <c r="F16" s="2">
        <v>20000</v>
      </c>
      <c r="G16" s="32">
        <f t="shared" si="2"/>
        <v>18474.913964861436</v>
      </c>
      <c r="H16" s="33">
        <f t="shared" si="3"/>
        <v>1.0825490196078433</v>
      </c>
    </row>
    <row r="17" spans="1:8" ht="15">
      <c r="A17" s="4">
        <v>40164</v>
      </c>
      <c r="B17" t="s">
        <v>88</v>
      </c>
      <c r="C17" s="13">
        <v>55.21</v>
      </c>
      <c r="D17" s="2">
        <v>1000000</v>
      </c>
      <c r="E17" s="32">
        <f t="shared" si="1"/>
        <v>18112.660749864153</v>
      </c>
      <c r="F17" s="2">
        <v>20000</v>
      </c>
      <c r="G17" s="32">
        <f t="shared" si="2"/>
        <v>18474.913964861436</v>
      </c>
      <c r="H17" s="33">
        <f t="shared" si="3"/>
        <v>1.0825490196078433</v>
      </c>
    </row>
    <row r="18" spans="1:8" ht="15">
      <c r="A18" s="4">
        <v>40168</v>
      </c>
      <c r="B18" t="s">
        <v>94</v>
      </c>
      <c r="C18" s="13">
        <v>109.88</v>
      </c>
      <c r="D18" s="2">
        <v>2000000</v>
      </c>
      <c r="E18" s="32">
        <f t="shared" si="1"/>
        <v>18201.674554058973</v>
      </c>
      <c r="F18" s="2">
        <v>30000</v>
      </c>
      <c r="G18" s="32">
        <f t="shared" si="2"/>
        <v>18474.699672369858</v>
      </c>
      <c r="H18" s="33">
        <f t="shared" si="3"/>
        <v>1.6238423645320197</v>
      </c>
    </row>
    <row r="19" spans="1:8" ht="13.5" customHeight="1">
      <c r="A19" s="4">
        <v>40169</v>
      </c>
      <c r="B19" t="s">
        <v>95</v>
      </c>
      <c r="C19" s="13">
        <v>55.21</v>
      </c>
      <c r="D19" s="2">
        <v>1000000</v>
      </c>
      <c r="E19" s="32">
        <f t="shared" si="1"/>
        <v>18112.660749864153</v>
      </c>
      <c r="F19" s="2">
        <v>20000</v>
      </c>
      <c r="G19" s="32">
        <f t="shared" si="2"/>
        <v>18474.913964861436</v>
      </c>
      <c r="H19" s="33">
        <f t="shared" si="3"/>
        <v>1.0825490196078433</v>
      </c>
    </row>
    <row r="20" spans="1:8" ht="13.5" customHeight="1">
      <c r="A20" s="4">
        <v>40169</v>
      </c>
      <c r="B20" t="s">
        <v>105</v>
      </c>
      <c r="C20" s="13">
        <v>3.4</v>
      </c>
      <c r="D20" s="2"/>
      <c r="E20" s="32" t="str">
        <f aca="true" t="shared" si="4" ref="E20:E21">IF(D20&lt;&gt;"",D20/C20,"")</f>
        <v/>
      </c>
      <c r="F20" s="2"/>
      <c r="G20" s="32" t="str">
        <f aca="true" t="shared" si="5" ref="G20:G21">IF(F20&lt;&gt;"",(E20*C20+F20)/C20,"")</f>
        <v/>
      </c>
      <c r="H20" s="33" t="str">
        <f aca="true" t="shared" si="6" ref="H20:H21">IF(G20&lt;&gt;"",F20/G20,"")</f>
        <v/>
      </c>
    </row>
    <row r="21" spans="1:8" ht="13.5" customHeight="1">
      <c r="A21" s="4">
        <v>40169</v>
      </c>
      <c r="B21" t="s">
        <v>105</v>
      </c>
      <c r="C21" s="13">
        <v>1.4</v>
      </c>
      <c r="D21" s="2"/>
      <c r="E21" s="32" t="str">
        <f t="shared" si="4"/>
        <v/>
      </c>
      <c r="F21" s="2"/>
      <c r="G21" s="32" t="str">
        <f t="shared" si="5"/>
        <v/>
      </c>
      <c r="H21" s="33" t="str">
        <f t="shared" si="6"/>
        <v/>
      </c>
    </row>
    <row r="22" spans="1:8" ht="15">
      <c r="A22" s="4">
        <v>40170</v>
      </c>
      <c r="B22" t="s">
        <v>96</v>
      </c>
      <c r="C22" s="13">
        <v>109.34</v>
      </c>
      <c r="D22" s="2">
        <v>2000000</v>
      </c>
      <c r="E22" s="32">
        <f t="shared" si="1"/>
        <v>18291.567587342233</v>
      </c>
      <c r="F22" s="2">
        <v>20000</v>
      </c>
      <c r="G22" s="32">
        <f t="shared" si="2"/>
        <v>18474.483263215654</v>
      </c>
      <c r="H22" s="33">
        <f t="shared" si="3"/>
        <v>1.0825742574257429</v>
      </c>
    </row>
    <row r="23" spans="1:8" ht="15">
      <c r="A23" s="4">
        <v>40170</v>
      </c>
      <c r="B23" t="s">
        <v>107</v>
      </c>
      <c r="C23" s="13">
        <v>50</v>
      </c>
      <c r="D23" s="2"/>
      <c r="E23" s="32" t="str">
        <f aca="true" t="shared" si="7" ref="E23:E24">IF(D23&lt;&gt;"",D23/C23,"")</f>
        <v/>
      </c>
      <c r="F23" s="2"/>
      <c r="G23" s="32" t="str">
        <f aca="true" t="shared" si="8" ref="G23:G24">IF(F23&lt;&gt;"",(E23*C23+F23)/C23,"")</f>
        <v/>
      </c>
      <c r="H23" s="33" t="str">
        <f aca="true" t="shared" si="9" ref="H23:H24">IF(G23&lt;&gt;"",F23/G23,"")</f>
        <v/>
      </c>
    </row>
    <row r="24" spans="1:8" ht="15">
      <c r="A24" s="4">
        <v>40173</v>
      </c>
      <c r="B24" t="s">
        <v>108</v>
      </c>
      <c r="C24" s="13">
        <v>2.95</v>
      </c>
      <c r="D24" s="31"/>
      <c r="E24" s="32" t="str">
        <f t="shared" si="7"/>
        <v/>
      </c>
      <c r="F24" s="2"/>
      <c r="G24" s="32" t="str">
        <f t="shared" si="8"/>
        <v/>
      </c>
      <c r="H24" s="33" t="str">
        <f t="shared" si="9"/>
        <v/>
      </c>
    </row>
    <row r="25" spans="1:8" ht="15">
      <c r="A25" s="4">
        <v>40174</v>
      </c>
      <c r="B25" t="s">
        <v>97</v>
      </c>
      <c r="C25" s="13">
        <v>162.39</v>
      </c>
      <c r="D25" s="31">
        <v>3000000</v>
      </c>
      <c r="E25" s="32">
        <f t="shared" si="1"/>
        <v>18474.043968224647</v>
      </c>
      <c r="F25" s="2">
        <v>0</v>
      </c>
      <c r="G25" s="32">
        <f t="shared" si="2"/>
        <v>18474.043968224647</v>
      </c>
      <c r="H25" s="33">
        <f t="shared" si="3"/>
        <v>0</v>
      </c>
    </row>
    <row r="26" spans="1:8" ht="15">
      <c r="A26" s="4">
        <v>40175</v>
      </c>
      <c r="B26" t="s">
        <v>98</v>
      </c>
      <c r="C26" s="13">
        <v>55.75</v>
      </c>
      <c r="D26" s="2">
        <v>1000000</v>
      </c>
      <c r="E26" s="32">
        <f t="shared" si="1"/>
        <v>17937.219730941702</v>
      </c>
      <c r="F26" s="2">
        <v>30000</v>
      </c>
      <c r="G26" s="32">
        <f t="shared" si="2"/>
        <v>18475.336322869953</v>
      </c>
      <c r="H26" s="33">
        <f t="shared" si="3"/>
        <v>1.6237864077669906</v>
      </c>
    </row>
    <row r="27" spans="1:8" ht="15">
      <c r="A27" s="4">
        <v>40177</v>
      </c>
      <c r="B27" t="s">
        <v>99</v>
      </c>
      <c r="C27" s="13">
        <v>110.43</v>
      </c>
      <c r="D27" s="2">
        <v>2000000</v>
      </c>
      <c r="E27" s="32">
        <f t="shared" si="1"/>
        <v>18111.02055600833</v>
      </c>
      <c r="F27" s="2">
        <v>40000</v>
      </c>
      <c r="G27" s="32">
        <f t="shared" si="2"/>
        <v>18473.240967128495</v>
      </c>
      <c r="H27" s="33">
        <f t="shared" si="3"/>
        <v>2.165294117647059</v>
      </c>
    </row>
    <row r="28" spans="1:8" ht="15">
      <c r="A28" s="4">
        <v>40513</v>
      </c>
      <c r="B28" t="s">
        <v>109</v>
      </c>
      <c r="C28" s="13">
        <v>136.41</v>
      </c>
      <c r="D28" s="2">
        <v>2500000</v>
      </c>
      <c r="E28" s="34">
        <f t="shared" si="1"/>
        <v>18327.102118613006</v>
      </c>
      <c r="F28" s="2">
        <v>20000</v>
      </c>
      <c r="G28" s="34">
        <f t="shared" si="2"/>
        <v>18473.71893556191</v>
      </c>
      <c r="H28" s="35">
        <f t="shared" si="3"/>
        <v>1.0826190476190476</v>
      </c>
    </row>
    <row r="29" spans="1:8" ht="15">
      <c r="A29" s="4">
        <v>40182</v>
      </c>
      <c r="B29" t="s">
        <v>110</v>
      </c>
      <c r="C29" s="13">
        <v>109.34</v>
      </c>
      <c r="D29" s="2">
        <v>2000000</v>
      </c>
      <c r="E29" s="34">
        <f t="shared" si="1"/>
        <v>18291.567587342233</v>
      </c>
      <c r="F29" s="2">
        <v>20000</v>
      </c>
      <c r="G29" s="34">
        <f t="shared" si="2"/>
        <v>18474.483263215654</v>
      </c>
      <c r="H29" s="35">
        <f t="shared" si="3"/>
        <v>1.0825742574257429</v>
      </c>
    </row>
    <row r="30" spans="1:8" ht="15">
      <c r="A30" s="4">
        <v>40184</v>
      </c>
      <c r="B30" t="s">
        <v>111</v>
      </c>
      <c r="C30" s="13">
        <v>108.26</v>
      </c>
      <c r="D30" s="2">
        <v>2000000</v>
      </c>
      <c r="E30" s="34">
        <f t="shared" si="1"/>
        <v>18474.043968224643</v>
      </c>
      <c r="F30" s="2">
        <v>0</v>
      </c>
      <c r="G30" s="34">
        <f t="shared" si="2"/>
        <v>18474.043968224643</v>
      </c>
      <c r="H30" s="35">
        <f t="shared" si="3"/>
        <v>0</v>
      </c>
    </row>
    <row r="31" spans="1:8" ht="15">
      <c r="A31" s="4">
        <v>40187</v>
      </c>
      <c r="B31" t="s">
        <v>111</v>
      </c>
      <c r="C31" s="13">
        <v>162.39</v>
      </c>
      <c r="D31" s="2">
        <v>3000000</v>
      </c>
      <c r="E31" s="34">
        <f t="shared" si="1"/>
        <v>18474.043968224647</v>
      </c>
      <c r="F31" s="2">
        <v>0</v>
      </c>
      <c r="G31" s="34">
        <f t="shared" si="2"/>
        <v>18474.043968224647</v>
      </c>
      <c r="H31" s="35">
        <f t="shared" si="3"/>
        <v>0</v>
      </c>
    </row>
    <row r="32" spans="1:8" ht="15">
      <c r="A32" s="4">
        <v>40188</v>
      </c>
      <c r="B32" t="s">
        <v>111</v>
      </c>
      <c r="C32" s="13">
        <v>59.54</v>
      </c>
      <c r="D32" s="2">
        <v>1100000</v>
      </c>
      <c r="E32" s="34">
        <f t="shared" si="1"/>
        <v>18474.974806852537</v>
      </c>
      <c r="F32" s="2">
        <v>0</v>
      </c>
      <c r="G32" s="34">
        <f t="shared" si="2"/>
        <v>18474.974806852537</v>
      </c>
      <c r="H32" s="35">
        <f t="shared" si="3"/>
        <v>0</v>
      </c>
    </row>
    <row r="33" spans="1:8" ht="15">
      <c r="A33" s="4"/>
      <c r="C33" s="3">
        <f>SUM(C2:C32)</f>
        <v>1875.0500000000002</v>
      </c>
      <c r="H33" s="3">
        <f>SUM(H2:H32)</f>
        <v>19.485923640893823</v>
      </c>
    </row>
    <row r="34" spans="1:4" ht="15">
      <c r="A34" s="4"/>
      <c r="C34" s="13"/>
      <c r="D34" s="2"/>
    </row>
    <row r="35" ht="15">
      <c r="A35" s="4"/>
    </row>
    <row r="36" spans="1:3" ht="15">
      <c r="A36" s="4"/>
      <c r="C36" s="13"/>
    </row>
    <row r="37" spans="1:3" ht="15">
      <c r="A37" s="4"/>
      <c r="C37" s="13"/>
    </row>
    <row r="38" spans="1:3" ht="15">
      <c r="A38" s="4"/>
      <c r="C38" s="13"/>
    </row>
    <row r="39" spans="1:3" ht="15">
      <c r="A39" s="4"/>
      <c r="C39" s="13"/>
    </row>
    <row r="40" spans="1:3" ht="15">
      <c r="A40" s="4"/>
      <c r="C40" s="13"/>
    </row>
    <row r="41" spans="1:3" ht="15">
      <c r="A41" s="4"/>
      <c r="C41" s="13"/>
    </row>
    <row r="42" spans="1:3" ht="15">
      <c r="A42" s="4"/>
      <c r="C42" s="13"/>
    </row>
    <row r="43" spans="1:3" ht="15">
      <c r="A43" s="4"/>
      <c r="C43" s="13"/>
    </row>
    <row r="44" spans="1:3" ht="15">
      <c r="A44" s="4"/>
      <c r="C44" s="13"/>
    </row>
    <row r="45" spans="1:3" ht="15">
      <c r="A45" s="4"/>
      <c r="C45" s="13"/>
    </row>
    <row r="46" spans="1:3" ht="15">
      <c r="A46" s="4"/>
      <c r="C46" s="13"/>
    </row>
    <row r="47" spans="1:3" ht="15">
      <c r="A47" s="4"/>
      <c r="C47" s="1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12" sqref="F8:G12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5" max="5" width="10.57421875" style="0" bestFit="1" customWidth="1"/>
    <col min="6" max="6" width="15.42187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40189</v>
      </c>
      <c r="B2" t="s">
        <v>112</v>
      </c>
      <c r="C2" s="1">
        <v>104</v>
      </c>
      <c r="D2">
        <v>4</v>
      </c>
      <c r="E2" s="4">
        <f>Vietnam!J4</f>
        <v>40189</v>
      </c>
      <c r="F2" t="s">
        <v>34</v>
      </c>
    </row>
    <row r="3" spans="1:6" ht="15">
      <c r="A3" s="4">
        <v>40189</v>
      </c>
      <c r="B3" t="s">
        <v>122</v>
      </c>
      <c r="C3" s="1">
        <v>4.5</v>
      </c>
      <c r="E3" s="4">
        <v>40206</v>
      </c>
      <c r="F3" t="s">
        <v>35</v>
      </c>
    </row>
    <row r="4" spans="1:6" ht="15">
      <c r="A4" s="4">
        <v>40191</v>
      </c>
      <c r="B4" t="s">
        <v>113</v>
      </c>
      <c r="C4" s="1">
        <v>100</v>
      </c>
      <c r="E4">
        <f>E3-E2</f>
        <v>17</v>
      </c>
      <c r="F4" t="s">
        <v>32</v>
      </c>
    </row>
    <row r="5" spans="1:6" ht="15">
      <c r="A5" s="4">
        <v>40192</v>
      </c>
      <c r="B5" t="s">
        <v>113</v>
      </c>
      <c r="C5" s="1">
        <v>100</v>
      </c>
      <c r="E5" s="3">
        <f>C12</f>
        <v>862.5</v>
      </c>
      <c r="F5" t="s">
        <v>31</v>
      </c>
    </row>
    <row r="6" spans="1:6" ht="15">
      <c r="A6" s="4">
        <v>40192</v>
      </c>
      <c r="B6" t="s">
        <v>123</v>
      </c>
      <c r="C6" s="1">
        <v>2</v>
      </c>
      <c r="E6" s="3">
        <f>C12/E4</f>
        <v>50.73529411764706</v>
      </c>
      <c r="F6" t="s">
        <v>38</v>
      </c>
    </row>
    <row r="7" spans="1:4" ht="15">
      <c r="A7" s="4">
        <v>40196</v>
      </c>
      <c r="B7" t="s">
        <v>117</v>
      </c>
      <c r="C7" s="12">
        <v>102</v>
      </c>
      <c r="D7">
        <v>2</v>
      </c>
    </row>
    <row r="8" spans="1:7" ht="15">
      <c r="A8" s="4">
        <v>40198</v>
      </c>
      <c r="B8" t="s">
        <v>118</v>
      </c>
      <c r="C8" s="13">
        <v>200</v>
      </c>
      <c r="F8" t="s">
        <v>188</v>
      </c>
      <c r="G8" s="2">
        <v>22</v>
      </c>
    </row>
    <row r="9" spans="1:7" ht="15">
      <c r="A9" s="4">
        <v>40200</v>
      </c>
      <c r="B9" t="s">
        <v>120</v>
      </c>
      <c r="C9" s="13">
        <v>100</v>
      </c>
      <c r="F9" t="s">
        <v>169</v>
      </c>
      <c r="G9" s="2">
        <v>12</v>
      </c>
    </row>
    <row r="10" spans="1:7" ht="15">
      <c r="A10" s="4">
        <v>40201</v>
      </c>
      <c r="B10" t="s">
        <v>121</v>
      </c>
      <c r="C10" s="13">
        <v>100</v>
      </c>
      <c r="F10" t="s">
        <v>190</v>
      </c>
      <c r="G10" s="2">
        <v>8</v>
      </c>
    </row>
    <row r="11" spans="1:7" ht="15">
      <c r="A11" s="4">
        <v>40205</v>
      </c>
      <c r="B11" t="s">
        <v>121</v>
      </c>
      <c r="C11" s="13">
        <v>50</v>
      </c>
      <c r="F11" t="s">
        <v>189</v>
      </c>
      <c r="G11" s="2">
        <v>8</v>
      </c>
    </row>
    <row r="12" spans="1:7" ht="15">
      <c r="A12" s="4"/>
      <c r="C12" s="3">
        <f>SUM(C2:C11)</f>
        <v>862.5</v>
      </c>
      <c r="G12" s="2">
        <f>SUM(G8:G11)</f>
        <v>50</v>
      </c>
    </row>
    <row r="13" spans="1:3" ht="15">
      <c r="A13" s="4"/>
      <c r="C13" s="13"/>
    </row>
    <row r="14" spans="1:3" ht="15">
      <c r="A14" s="4"/>
      <c r="C14" s="13"/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  <row r="33" spans="1:3" ht="15">
      <c r="A33" s="4"/>
      <c r="C33" s="13"/>
    </row>
    <row r="34" spans="1:3" ht="15">
      <c r="A34" s="4"/>
      <c r="C34" s="13"/>
    </row>
    <row r="35" spans="1:3" ht="15">
      <c r="A35" s="4"/>
      <c r="C35" s="13"/>
    </row>
    <row r="36" spans="1:3" ht="15">
      <c r="A36" s="4"/>
      <c r="C36" s="1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6.140625" style="0" bestFit="1" customWidth="1"/>
    <col min="5" max="5" width="10.57421875" style="0" bestFit="1" customWidth="1"/>
    <col min="6" max="6" width="10.7109375" style="0" bestFit="1" customWidth="1"/>
    <col min="7" max="7" width="11.421875" style="0" bestFit="1" customWidth="1"/>
    <col min="8" max="8" width="11.7109375" style="0" bestFit="1" customWidth="1"/>
    <col min="9" max="9" width="1.7109375" style="0" customWidth="1"/>
    <col min="10" max="10" width="10.57421875" style="0" bestFit="1" customWidth="1"/>
    <col min="11" max="11" width="15.42187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125</v>
      </c>
      <c r="E1" s="5" t="s">
        <v>101</v>
      </c>
      <c r="F1" s="5" t="s">
        <v>126</v>
      </c>
      <c r="G1" s="5" t="s">
        <v>102</v>
      </c>
      <c r="H1" s="5" t="s">
        <v>103</v>
      </c>
    </row>
    <row r="2" spans="1:11" ht="15">
      <c r="A2" s="4">
        <v>40206</v>
      </c>
      <c r="B2" t="s">
        <v>127</v>
      </c>
      <c r="C2" s="1">
        <v>307.93</v>
      </c>
      <c r="D2" s="36">
        <v>10000</v>
      </c>
      <c r="E2" s="32">
        <f>IF(D2&lt;&gt;"",D2/C2,"")</f>
        <v>32.47491312960738</v>
      </c>
      <c r="F2" s="36">
        <v>150</v>
      </c>
      <c r="G2" s="32">
        <f aca="true" t="shared" si="0" ref="G2">IF(F2&lt;&gt;"",(E2*C2+F2)/C2,"")</f>
        <v>32.96203682655149</v>
      </c>
      <c r="H2" s="33">
        <f>IF(G2&lt;&gt;"",F2/G2,"")</f>
        <v>4.550689655172413</v>
      </c>
      <c r="J2" s="4">
        <f>Cambodia!E3</f>
        <v>40206</v>
      </c>
      <c r="K2" t="s">
        <v>34</v>
      </c>
    </row>
    <row r="3" spans="1:11" ht="15">
      <c r="A3" s="4">
        <v>40207</v>
      </c>
      <c r="B3" t="s">
        <v>128</v>
      </c>
      <c r="C3" s="1">
        <v>610.84</v>
      </c>
      <c r="D3" s="36">
        <v>20000</v>
      </c>
      <c r="E3" s="32">
        <f aca="true" t="shared" si="1" ref="E3:E10">IF(D3&lt;&gt;"",D3/C3,"")</f>
        <v>32.74179817955602</v>
      </c>
      <c r="F3" s="36">
        <v>150</v>
      </c>
      <c r="G3" s="32">
        <f aca="true" t="shared" si="2" ref="G3:G11">IF(F3&lt;&gt;"",(E3*C3+F3)/C3,"")</f>
        <v>32.98736166590269</v>
      </c>
      <c r="H3" s="33">
        <f aca="true" t="shared" si="3" ref="H3:H11">IF(G3&lt;&gt;"",F3/G3,"")</f>
        <v>4.547196029776675</v>
      </c>
      <c r="J3" s="4">
        <v>40218</v>
      </c>
      <c r="K3" t="s">
        <v>35</v>
      </c>
    </row>
    <row r="4" spans="1:11" ht="15">
      <c r="A4" s="4">
        <v>40207</v>
      </c>
      <c r="B4" t="s">
        <v>128</v>
      </c>
      <c r="C4" s="1">
        <v>307.69</v>
      </c>
      <c r="D4" s="36">
        <v>10000</v>
      </c>
      <c r="E4" s="32">
        <f t="shared" si="1"/>
        <v>32.50024375182814</v>
      </c>
      <c r="F4" s="36">
        <v>150</v>
      </c>
      <c r="G4" s="32">
        <f t="shared" si="2"/>
        <v>32.98774740810556</v>
      </c>
      <c r="H4" s="33">
        <f t="shared" si="3"/>
        <v>4.547142857142857</v>
      </c>
      <c r="J4">
        <f>J3-J2</f>
        <v>12</v>
      </c>
      <c r="K4" t="s">
        <v>32</v>
      </c>
    </row>
    <row r="5" spans="1:11" ht="15">
      <c r="A5" s="4">
        <v>40211</v>
      </c>
      <c r="B5" t="s">
        <v>136</v>
      </c>
      <c r="C5" s="1">
        <v>7.97</v>
      </c>
      <c r="D5" s="36"/>
      <c r="E5" s="32"/>
      <c r="F5" s="36"/>
      <c r="G5" s="32"/>
      <c r="H5" s="33"/>
      <c r="J5" s="3">
        <f>C14-879.32</f>
        <v>805.2884848484849</v>
      </c>
      <c r="K5" t="s">
        <v>31</v>
      </c>
    </row>
    <row r="6" spans="1:11" ht="15">
      <c r="A6" s="4">
        <v>40213</v>
      </c>
      <c r="B6" t="s">
        <v>134</v>
      </c>
      <c r="C6" s="1">
        <v>368.1</v>
      </c>
      <c r="D6" s="36">
        <v>12000</v>
      </c>
      <c r="E6" s="32">
        <f t="shared" si="1"/>
        <v>32.59983700081499</v>
      </c>
      <c r="F6" s="36">
        <v>150</v>
      </c>
      <c r="G6" s="32">
        <f t="shared" si="2"/>
        <v>33.00733496332518</v>
      </c>
      <c r="H6" s="33">
        <f t="shared" si="3"/>
        <v>4.544444444444445</v>
      </c>
      <c r="J6" s="3">
        <f>J5/J4</f>
        <v>67.10737373737375</v>
      </c>
      <c r="K6" t="s">
        <v>38</v>
      </c>
    </row>
    <row r="7" spans="1:8" ht="15">
      <c r="A7" s="4">
        <v>40217</v>
      </c>
      <c r="B7" t="s">
        <v>140</v>
      </c>
      <c r="C7" s="1">
        <v>2.13</v>
      </c>
      <c r="D7" s="36"/>
      <c r="E7" s="32"/>
      <c r="F7" s="36"/>
      <c r="G7" s="32"/>
      <c r="H7" s="33"/>
    </row>
    <row r="8" spans="1:12" ht="15">
      <c r="A8" s="4">
        <v>40218</v>
      </c>
      <c r="B8" t="s">
        <v>134</v>
      </c>
      <c r="C8" s="1">
        <v>95.1</v>
      </c>
      <c r="D8" s="36">
        <v>3000</v>
      </c>
      <c r="E8" s="32">
        <f t="shared" si="1"/>
        <v>31.54574132492114</v>
      </c>
      <c r="F8" s="36">
        <v>150</v>
      </c>
      <c r="G8" s="32">
        <f t="shared" si="2"/>
        <v>33.123028391167196</v>
      </c>
      <c r="H8" s="33">
        <f t="shared" si="3"/>
        <v>4.5285714285714285</v>
      </c>
      <c r="K8" t="s">
        <v>188</v>
      </c>
      <c r="L8" s="2">
        <v>30</v>
      </c>
    </row>
    <row r="9" spans="1:12" ht="15">
      <c r="A9" s="4">
        <v>40218</v>
      </c>
      <c r="B9" t="s">
        <v>139</v>
      </c>
      <c r="C9" s="12">
        <f>-500/33</f>
        <v>-15.151515151515152</v>
      </c>
      <c r="D9" s="36"/>
      <c r="E9" s="32" t="str">
        <f t="shared" si="1"/>
        <v/>
      </c>
      <c r="F9" s="36"/>
      <c r="G9" s="32" t="str">
        <f t="shared" si="2"/>
        <v/>
      </c>
      <c r="H9" s="33" t="str">
        <f t="shared" si="3"/>
        <v/>
      </c>
      <c r="K9" t="s">
        <v>169</v>
      </c>
      <c r="L9" s="2">
        <v>15</v>
      </c>
    </row>
    <row r="10" spans="1:12" ht="15">
      <c r="A10" s="4"/>
      <c r="C10" s="13"/>
      <c r="D10" s="36"/>
      <c r="E10" s="32" t="str">
        <f t="shared" si="1"/>
        <v/>
      </c>
      <c r="F10" s="36"/>
      <c r="G10" s="32" t="str">
        <f t="shared" si="2"/>
        <v/>
      </c>
      <c r="H10" s="33" t="str">
        <f t="shared" si="3"/>
        <v/>
      </c>
      <c r="K10" t="s">
        <v>190</v>
      </c>
      <c r="L10" s="2">
        <v>10</v>
      </c>
    </row>
    <row r="11" spans="1:12" ht="15">
      <c r="A11" s="4"/>
      <c r="C11" s="13"/>
      <c r="D11" s="36"/>
      <c r="F11" s="36"/>
      <c r="G11" s="32" t="str">
        <f t="shared" si="2"/>
        <v/>
      </c>
      <c r="H11" s="33" t="str">
        <f t="shared" si="3"/>
        <v/>
      </c>
      <c r="K11" t="s">
        <v>189</v>
      </c>
      <c r="L11" s="2">
        <v>10</v>
      </c>
    </row>
    <row r="12" spans="1:12" ht="15">
      <c r="A12" s="4"/>
      <c r="C12" s="13"/>
      <c r="D12" s="36"/>
      <c r="F12" s="36"/>
      <c r="L12" s="2">
        <f>SUM(L8:L11)</f>
        <v>65</v>
      </c>
    </row>
    <row r="13" spans="1:6" ht="15">
      <c r="A13" s="4"/>
      <c r="C13" s="13"/>
      <c r="F13" s="36"/>
    </row>
    <row r="14" spans="1:3" ht="15">
      <c r="A14" s="4"/>
      <c r="C14" s="3">
        <f>SUM(C2:C13)</f>
        <v>1684.608484848485</v>
      </c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  <row r="33" spans="1:3" ht="15">
      <c r="A33" s="4"/>
      <c r="C33" s="13"/>
    </row>
    <row r="34" spans="1:3" ht="15">
      <c r="A34" s="4"/>
      <c r="C34" s="13"/>
    </row>
    <row r="35" spans="1:3" ht="15">
      <c r="A35" s="4"/>
      <c r="C35" s="13"/>
    </row>
    <row r="36" spans="1:3" ht="15">
      <c r="A36" s="4"/>
      <c r="C36" s="13"/>
    </row>
    <row r="37" spans="1:3" ht="15">
      <c r="A37" s="4"/>
      <c r="C37" s="13"/>
    </row>
    <row r="38" spans="1:3" ht="15">
      <c r="A38" s="4"/>
      <c r="C38" s="1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12" sqref="I12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1.28125" style="0" bestFit="1" customWidth="1"/>
    <col min="5" max="5" width="10.57421875" style="0" bestFit="1" customWidth="1"/>
    <col min="6" max="6" width="2.140625" style="0" customWidth="1"/>
    <col min="7" max="7" width="10.57421875" style="0" bestFit="1" customWidth="1"/>
    <col min="8" max="8" width="15.421875" style="0" bestFit="1" customWidth="1"/>
  </cols>
  <sheetData>
    <row r="1" spans="1:5" ht="15">
      <c r="A1" s="5" t="s">
        <v>39</v>
      </c>
      <c r="B1" s="5" t="s">
        <v>36</v>
      </c>
      <c r="C1" s="5" t="s">
        <v>37</v>
      </c>
      <c r="D1" s="5" t="s">
        <v>137</v>
      </c>
      <c r="E1" s="5" t="s">
        <v>101</v>
      </c>
    </row>
    <row r="2" spans="1:8" ht="15">
      <c r="A2" s="4">
        <v>40218</v>
      </c>
      <c r="B2" t="s">
        <v>141</v>
      </c>
      <c r="C2" s="1">
        <v>73.42</v>
      </c>
      <c r="D2" s="37">
        <v>500</v>
      </c>
      <c r="E2" s="32">
        <f>IF(D2&lt;&gt;"",D2/C2,"")</f>
        <v>6.810133478616181</v>
      </c>
      <c r="G2" s="4">
        <f>Thailand!J3</f>
        <v>40218</v>
      </c>
      <c r="H2" t="s">
        <v>34</v>
      </c>
    </row>
    <row r="3" spans="1:8" ht="15">
      <c r="A3" s="4">
        <v>40219</v>
      </c>
      <c r="B3" t="s">
        <v>138</v>
      </c>
      <c r="C3" s="1">
        <v>220.26</v>
      </c>
      <c r="D3" s="37">
        <v>1500</v>
      </c>
      <c r="E3" s="32">
        <f aca="true" t="shared" si="0" ref="E3:E12">IF(D3&lt;&gt;"",D3/C3,"")</f>
        <v>6.810133478616181</v>
      </c>
      <c r="G3" s="4">
        <v>40232</v>
      </c>
      <c r="H3" t="s">
        <v>35</v>
      </c>
    </row>
    <row r="4" spans="1:8" ht="15">
      <c r="A4" s="4">
        <v>40222</v>
      </c>
      <c r="B4" t="s">
        <v>142</v>
      </c>
      <c r="C4" s="1">
        <v>73.42</v>
      </c>
      <c r="D4" s="37">
        <v>500</v>
      </c>
      <c r="E4" s="32">
        <f t="shared" si="0"/>
        <v>6.810133478616181</v>
      </c>
      <c r="G4">
        <f>G3-G2</f>
        <v>14</v>
      </c>
      <c r="H4" t="s">
        <v>32</v>
      </c>
    </row>
    <row r="5" spans="1:8" ht="15">
      <c r="A5" s="4">
        <v>40224</v>
      </c>
      <c r="B5" t="s">
        <v>143</v>
      </c>
      <c r="C5" s="1">
        <v>73.42</v>
      </c>
      <c r="D5" s="37">
        <v>500</v>
      </c>
      <c r="E5" s="32">
        <f t="shared" si="0"/>
        <v>6.810133478616181</v>
      </c>
      <c r="G5" s="3">
        <f>C13</f>
        <v>1131.1515151515152</v>
      </c>
      <c r="H5" t="s">
        <v>31</v>
      </c>
    </row>
    <row r="6" spans="1:8" ht="15">
      <c r="A6" s="4">
        <v>40225</v>
      </c>
      <c r="B6" t="s">
        <v>144</v>
      </c>
      <c r="C6" s="1">
        <v>73.42</v>
      </c>
      <c r="D6" s="37">
        <v>500</v>
      </c>
      <c r="E6" s="32">
        <f t="shared" si="0"/>
        <v>6.810133478616181</v>
      </c>
      <c r="G6" s="3">
        <f>C13/G4</f>
        <v>80.7965367965368</v>
      </c>
      <c r="H6" t="s">
        <v>38</v>
      </c>
    </row>
    <row r="7" spans="1:5" ht="15">
      <c r="A7" s="4">
        <v>40225</v>
      </c>
      <c r="B7" t="s">
        <v>145</v>
      </c>
      <c r="C7" s="1">
        <v>73.42</v>
      </c>
      <c r="D7" s="37">
        <v>500</v>
      </c>
      <c r="E7" s="32">
        <f t="shared" si="0"/>
        <v>6.810133478616181</v>
      </c>
    </row>
    <row r="8" spans="1:9" ht="15">
      <c r="A8" s="4">
        <v>40227</v>
      </c>
      <c r="B8" t="s">
        <v>146</v>
      </c>
      <c r="C8" s="1">
        <v>73.42</v>
      </c>
      <c r="D8" s="37">
        <v>500</v>
      </c>
      <c r="E8" s="32">
        <f t="shared" si="0"/>
        <v>6.810133478616181</v>
      </c>
      <c r="H8" t="s">
        <v>188</v>
      </c>
      <c r="I8" s="2">
        <v>30</v>
      </c>
    </row>
    <row r="9" spans="1:9" ht="15">
      <c r="A9" s="4">
        <v>40229</v>
      </c>
      <c r="B9" t="s">
        <v>147</v>
      </c>
      <c r="C9" s="1">
        <v>234.95</v>
      </c>
      <c r="D9" s="37">
        <v>1600</v>
      </c>
      <c r="E9" s="32">
        <f t="shared" si="0"/>
        <v>6.8099595658650784</v>
      </c>
      <c r="H9" t="s">
        <v>169</v>
      </c>
      <c r="I9" s="2">
        <v>20</v>
      </c>
    </row>
    <row r="10" spans="1:9" ht="15">
      <c r="A10" s="4">
        <v>40230</v>
      </c>
      <c r="B10" t="s">
        <v>148</v>
      </c>
      <c r="C10" s="1">
        <v>146.85</v>
      </c>
      <c r="D10" s="37">
        <v>1000</v>
      </c>
      <c r="E10" s="32">
        <f t="shared" si="0"/>
        <v>6.809669731018046</v>
      </c>
      <c r="H10" t="s">
        <v>190</v>
      </c>
      <c r="I10" s="2">
        <v>15</v>
      </c>
    </row>
    <row r="11" spans="1:9" ht="15">
      <c r="A11" s="4">
        <v>40230</v>
      </c>
      <c r="B11" t="s">
        <v>149</v>
      </c>
      <c r="C11" s="13">
        <v>73.42</v>
      </c>
      <c r="D11" s="37">
        <v>500</v>
      </c>
      <c r="E11" s="32">
        <f t="shared" si="0"/>
        <v>6.810133478616181</v>
      </c>
      <c r="H11" t="s">
        <v>189</v>
      </c>
      <c r="I11" s="2">
        <v>10</v>
      </c>
    </row>
    <row r="12" spans="1:9" ht="15">
      <c r="A12" s="4"/>
      <c r="B12" t="s">
        <v>139</v>
      </c>
      <c r="C12" s="13">
        <f>-Thailand!C9</f>
        <v>15.151515151515152</v>
      </c>
      <c r="D12" s="37">
        <v>103</v>
      </c>
      <c r="E12" s="32">
        <f t="shared" si="0"/>
        <v>6.798</v>
      </c>
      <c r="I12" s="2">
        <f>SUM(I8:I11)</f>
        <v>75</v>
      </c>
    </row>
    <row r="13" spans="1:3" ht="15">
      <c r="A13" s="4"/>
      <c r="C13" s="3">
        <f>SUM(C2:C12)</f>
        <v>1131.1515151515152</v>
      </c>
    </row>
    <row r="14" ht="15">
      <c r="A14" s="4"/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</sheetData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2009-10-29T14:35:35Z</dcterms:created>
  <dcterms:modified xsi:type="dcterms:W3CDTF">2010-03-08T13:16:35Z</dcterms:modified>
  <cp:category/>
  <cp:version/>
  <cp:contentType/>
  <cp:contentStatus/>
</cp:coreProperties>
</file>