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120" yWindow="45" windowWidth="11295" windowHeight="3030" activeTab="1"/>
  </bookViews>
  <sheets>
    <sheet name="Budgeting" sheetId="5" r:id="rId1"/>
    <sheet name="Summary" sheetId="1" r:id="rId2"/>
    <sheet name="Vancouver" sheetId="2" r:id="rId3"/>
    <sheet name="HK-Macau" sheetId="3" r:id="rId4"/>
    <sheet name="M China" sheetId="4" r:id="rId5"/>
    <sheet name="Vietnam" sheetId="6" r:id="rId6"/>
    <sheet name="Cambodia" sheetId="8" r:id="rId7"/>
    <sheet name="Thailand" sheetId="9" r:id="rId8"/>
    <sheet name="M China (2)" sheetId="10" r:id="rId9"/>
    <sheet name="South Korea" sheetId="11" r:id="rId10"/>
    <sheet name="Japan" sheetId="12" r:id="rId11"/>
    <sheet name="South Korea (2)" sheetId="13" r:id="rId12"/>
  </sheets>
  <definedNames/>
  <calcPr calcId="125725"/>
</workbook>
</file>

<file path=xl/comments10.xml><?xml version="1.0" encoding="utf-8"?>
<comments xmlns="http://schemas.openxmlformats.org/spreadsheetml/2006/main">
  <authors>
    <author>Your User Name</author>
  </authors>
  <commentList>
    <comment ref="J5" authorId="0">
      <text>
        <r>
          <rPr>
            <b/>
            <sz val="8"/>
            <rFont val="Tahoma"/>
            <family val="2"/>
          </rPr>
          <t>Your User Name:</t>
        </r>
        <r>
          <rPr>
            <sz val="8"/>
            <rFont val="Tahoma"/>
            <family val="2"/>
          </rPr>
          <t xml:space="preserve">
Subtract out ferry to Japan</t>
        </r>
      </text>
    </comment>
  </commentList>
</comments>
</file>

<file path=xl/comments2.xml><?xml version="1.0" encoding="utf-8"?>
<comments xmlns="http://schemas.openxmlformats.org/spreadsheetml/2006/main">
  <authors>
    <author>Your User Name</author>
  </authors>
  <commentList>
    <comment ref="D12" authorId="0">
      <text>
        <r>
          <rPr>
            <b/>
            <sz val="8"/>
            <rFont val="Tahoma"/>
            <family val="2"/>
          </rPr>
          <t>Your User Name:</t>
        </r>
        <r>
          <rPr>
            <sz val="8"/>
            <rFont val="Tahoma"/>
            <family val="2"/>
          </rPr>
          <t xml:space="preserve">
$40.07 - 7/2</t>
        </r>
      </text>
    </comment>
    <comment ref="D19" authorId="0">
      <text>
        <r>
          <rPr>
            <b/>
            <sz val="8"/>
            <rFont val="Tahoma"/>
            <family val="2"/>
          </rPr>
          <t>Your User Name:</t>
        </r>
        <r>
          <rPr>
            <sz val="8"/>
            <rFont val="Tahoma"/>
            <family val="2"/>
          </rPr>
          <t xml:space="preserve">
Includes May, June (5/26), July (6/26)</t>
        </r>
      </text>
    </comment>
    <comment ref="D24" authorId="0">
      <text>
        <r>
          <rPr>
            <b/>
            <sz val="8"/>
            <rFont val="Tahoma"/>
            <family val="2"/>
          </rPr>
          <t>Your User Name:</t>
        </r>
        <r>
          <rPr>
            <sz val="8"/>
            <rFont val="Tahoma"/>
            <family val="2"/>
          </rPr>
          <t xml:space="preserve">
Includes May</t>
        </r>
      </text>
    </comment>
    <comment ref="D45" authorId="0">
      <text>
        <r>
          <rPr>
            <b/>
            <sz val="8"/>
            <rFont val="Tahoma"/>
            <family val="2"/>
          </rPr>
          <t>Your User Name:</t>
        </r>
        <r>
          <rPr>
            <sz val="8"/>
            <rFont val="Tahoma"/>
            <family val="2"/>
          </rPr>
          <t xml:space="preserve">
Includes May, June, July (6/30)</t>
        </r>
      </text>
    </comment>
  </commentList>
</comments>
</file>

<file path=xl/sharedStrings.xml><?xml version="1.0" encoding="utf-8"?>
<sst xmlns="http://schemas.openxmlformats.org/spreadsheetml/2006/main" count="606" uniqueCount="327">
  <si>
    <t>Total Trip</t>
  </si>
  <si>
    <t>Netbooks</t>
  </si>
  <si>
    <t>Flight</t>
  </si>
  <si>
    <t>China Visa's</t>
  </si>
  <si>
    <t>Health Insurance</t>
  </si>
  <si>
    <t>OLD SPAGHETTI FACTORY VANCOUVER BC</t>
  </si>
  <si>
    <t>PEMBERTON HEIGHTS CORNER NORTH VANCO BC</t>
  </si>
  <si>
    <t>URBAN THAI BISTRO VANCOUVER BC</t>
  </si>
  <si>
    <t>A&amp;W RESTAURANT RICHMOND BC</t>
  </si>
  <si>
    <t>WWW.SKYPE.COM INTERNET</t>
  </si>
  <si>
    <t>GROUSE MOUNTAIN RESORT N.VANCOUVER BC</t>
  </si>
  <si>
    <t>STEAMROLLERS ROBSON VANCOUVER BC</t>
  </si>
  <si>
    <t>SHOPPERSDRUGMART2277 VANCOUVER BC</t>
  </si>
  <si>
    <t>H&amp;M CA #037 - PACIFIC VANCOUVER BC</t>
  </si>
  <si>
    <t>LONDON DRUGS 19 VANCOUVER BC</t>
  </si>
  <si>
    <t>BLENZ COFFEE ROBSON WEST VANCOUVER BC</t>
  </si>
  <si>
    <t>THIDA THAI RESTAURANT VANCOUVER BC</t>
  </si>
  <si>
    <t>ST CLAIR HOTEL VANCOUVER BC</t>
  </si>
  <si>
    <t>SHOPPERSDRUGMART0272 VANCOUVER BC</t>
  </si>
  <si>
    <t>TRUE NORTH HOSTELLING ASS VANCOUVER BC</t>
  </si>
  <si>
    <t>WWW.HIHOSTELS.COM WELWYN GARDEN</t>
  </si>
  <si>
    <t>Airport Food</t>
  </si>
  <si>
    <t>Cash</t>
  </si>
  <si>
    <t>Chuen Lee Seafood Dinner</t>
  </si>
  <si>
    <t>Remaining HK Cash</t>
  </si>
  <si>
    <t>USD to Yuan Conversion</t>
  </si>
  <si>
    <t>Yaletown Beer</t>
  </si>
  <si>
    <t>Sharon's doctors visit</t>
  </si>
  <si>
    <t>Korean Dinner</t>
  </si>
  <si>
    <t>Macau Dinner - Portuguese</t>
  </si>
  <si>
    <t>Starbucks</t>
  </si>
  <si>
    <t>Total</t>
  </si>
  <si>
    <t>Number of days</t>
  </si>
  <si>
    <t>Hostelword Shenzhen Fee</t>
  </si>
  <si>
    <t>Start Date</t>
  </si>
  <si>
    <t>Leave Date</t>
  </si>
  <si>
    <t>Activity</t>
  </si>
  <si>
    <t>Amount</t>
  </si>
  <si>
    <t>Avg Per Day</t>
  </si>
  <si>
    <t>Date</t>
  </si>
  <si>
    <t>Remaining</t>
  </si>
  <si>
    <t>Vancouver</t>
  </si>
  <si>
    <t>HK-Macau</t>
  </si>
  <si>
    <t>Avg. Per Day</t>
  </si>
  <si>
    <t>Pre-Trip Start</t>
  </si>
  <si>
    <t>Activity/Destination</t>
  </si>
  <si>
    <t>Money Spent</t>
  </si>
  <si>
    <t>Days</t>
  </si>
  <si>
    <t>Days Remaining</t>
  </si>
  <si>
    <t>Total Pre-Trip Expenses</t>
  </si>
  <si>
    <t>Days Spent</t>
  </si>
  <si>
    <t>Target Spend Per Day</t>
  </si>
  <si>
    <t>Current Run Rate</t>
  </si>
  <si>
    <t>Target Spend Per Week</t>
  </si>
  <si>
    <t>Per Two Weeks</t>
  </si>
  <si>
    <t>Jason's Savings</t>
  </si>
  <si>
    <t>Sharon's Savings</t>
  </si>
  <si>
    <t>Saved</t>
  </si>
  <si>
    <t>Total %</t>
  </si>
  <si>
    <t>Withdraw %</t>
  </si>
  <si>
    <t>Amt Per 2 Weeks</t>
  </si>
  <si>
    <t>Over 52 Weeks</t>
  </si>
  <si>
    <t>Guandong Card Cash</t>
  </si>
  <si>
    <t>ABC Cash</t>
  </si>
  <si>
    <t>Construction Bank Cash</t>
  </si>
  <si>
    <t>Hostelworld Haikou Fee</t>
  </si>
  <si>
    <t>Hostelworld Sanya Fee</t>
  </si>
  <si>
    <t>Per Day</t>
  </si>
  <si>
    <t>Bi-Weekly</t>
  </si>
  <si>
    <t>%</t>
  </si>
  <si>
    <t>Approx. Remaining</t>
  </si>
  <si>
    <t>CCB Hainan</t>
  </si>
  <si>
    <t>Air Asia - BKK to CAN</t>
  </si>
  <si>
    <t>Jindong Restaurant</t>
  </si>
  <si>
    <t>Hu Guang Zhi Hang ATM</t>
  </si>
  <si>
    <t>CCB Guangxi Branch</t>
  </si>
  <si>
    <t>Dong Jiang 2</t>
  </si>
  <si>
    <t>Yang Shuo Xi Jie</t>
  </si>
  <si>
    <t>Chao Yang Qiao Fen</t>
  </si>
  <si>
    <t>Nanning</t>
  </si>
  <si>
    <t>Conversion of HKD and USD</t>
  </si>
  <si>
    <t>Hostelworld Beijing Fee</t>
  </si>
  <si>
    <t>Hostelworld Nanning Fee</t>
  </si>
  <si>
    <t>ATM 228 - Cash Hanoi</t>
  </si>
  <si>
    <t>CH Hanoi - HCMVN</t>
  </si>
  <si>
    <t>VIB PGD - Hanoi</t>
  </si>
  <si>
    <t>HSBL Hanoiview 37 Bat</t>
  </si>
  <si>
    <t>TT Cat ba, Haiphong</t>
  </si>
  <si>
    <t>VIB Hue - Hue</t>
  </si>
  <si>
    <t>"00001096"</t>
  </si>
  <si>
    <t>Vietnam</t>
  </si>
  <si>
    <t>Hostelworld Vietnam (Hue)</t>
  </si>
  <si>
    <t>Hostelworld Vietnam (Hanoi)</t>
  </si>
  <si>
    <t>"00001024"</t>
  </si>
  <si>
    <t>91 Tran H Dao, Hoi An, Danang</t>
  </si>
  <si>
    <t>70 Nguyen Thien Thuat</t>
  </si>
  <si>
    <t>20A Tran Quang Khai</t>
  </si>
  <si>
    <t>PGD Dalat</t>
  </si>
  <si>
    <t>211 Nguyen Thai Hoc</t>
  </si>
  <si>
    <t>ANZ-H.GIA Hotel HCMC</t>
  </si>
  <si>
    <t>Dong Withdrawn</t>
  </si>
  <si>
    <t>X-Rate</t>
  </si>
  <si>
    <t>New X-Rate</t>
  </si>
  <si>
    <t>Reimbursed</t>
  </si>
  <si>
    <t>Fee (Dong)</t>
  </si>
  <si>
    <t>Hostelworld Fee</t>
  </si>
  <si>
    <t>Hostelworld Fee - Saigon</t>
  </si>
  <si>
    <t>Cambodia eVisa</t>
  </si>
  <si>
    <t>Skype</t>
  </si>
  <si>
    <t>CTY Diem Sang Chau</t>
  </si>
  <si>
    <t>HCM CHI NHANH</t>
  </si>
  <si>
    <t>PGD Pham Ngu Lao</t>
  </si>
  <si>
    <t>Rattan Coffee</t>
  </si>
  <si>
    <t>Canadia</t>
  </si>
  <si>
    <t>Other Expenses</t>
  </si>
  <si>
    <t>Fingerprinting</t>
  </si>
  <si>
    <t>Cambodia</t>
  </si>
  <si>
    <t>KKG Koh Kong</t>
  </si>
  <si>
    <t>Canadia Sihanoukville</t>
  </si>
  <si>
    <t>Total Other Expenses</t>
  </si>
  <si>
    <t>Canadia Phnom Penh</t>
  </si>
  <si>
    <t>Siem Reap Lucky Mall ATM</t>
  </si>
  <si>
    <t>Hostelworld - Phnom Penh</t>
  </si>
  <si>
    <t>Hostelworld - Siem Reap</t>
  </si>
  <si>
    <t xml:space="preserve">Camera </t>
  </si>
  <si>
    <t>Baht Withdrawn</t>
  </si>
  <si>
    <t>Fee (Baht)</t>
  </si>
  <si>
    <t>Klong Prow Resort</t>
  </si>
  <si>
    <t>Kai Bae Shop</t>
  </si>
  <si>
    <t>Scuba Diving</t>
  </si>
  <si>
    <t>Revenue</t>
  </si>
  <si>
    <t>Amazon</t>
  </si>
  <si>
    <t>Total Revenue</t>
  </si>
  <si>
    <t>ATM Fee Rebate + Int</t>
  </si>
  <si>
    <t>Bangkok Bank</t>
  </si>
  <si>
    <t>Thailand</t>
  </si>
  <si>
    <t>Hostelworld - BKK</t>
  </si>
  <si>
    <t xml:space="preserve">RMB </t>
  </si>
  <si>
    <t>Guang Dong</t>
  </si>
  <si>
    <t>Remaining Baht</t>
  </si>
  <si>
    <t>Hostelworld - CAN</t>
  </si>
  <si>
    <t>CCB - Guangdong</t>
  </si>
  <si>
    <t>Xiushui Street Beijing</t>
  </si>
  <si>
    <t>Beijing</t>
  </si>
  <si>
    <t>Beijing Zhan Shou Piao</t>
  </si>
  <si>
    <t>Dongdanitiezhan Beijing</t>
  </si>
  <si>
    <t>Sou Xiou Chong Wen Men</t>
  </si>
  <si>
    <t>Bank of China</t>
  </si>
  <si>
    <t>CCB Dalian</t>
  </si>
  <si>
    <t>CCB Dalin</t>
  </si>
  <si>
    <t>Student Loan</t>
  </si>
  <si>
    <t>Won</t>
  </si>
  <si>
    <t>Yeonanbudog - Incheon</t>
  </si>
  <si>
    <t>Seoulguwol-Dong Incheon</t>
  </si>
  <si>
    <t>Shinhan Card Seoul</t>
  </si>
  <si>
    <t>Engineers w/o borders</t>
  </si>
  <si>
    <t>GS25 InchungooworlJum</t>
  </si>
  <si>
    <t>South Korea</t>
  </si>
  <si>
    <t>Samsung Gate Ban Seoul</t>
  </si>
  <si>
    <t>Fee (Won)</t>
  </si>
  <si>
    <t>Sangwon Incheon</t>
  </si>
  <si>
    <t>Ziesliteilsongdo</t>
  </si>
  <si>
    <t>Coamat Seoul</t>
  </si>
  <si>
    <t>Bonjuk Restaurant</t>
  </si>
  <si>
    <t>Buy The Way</t>
  </si>
  <si>
    <t>Rent</t>
  </si>
  <si>
    <t>Budget</t>
  </si>
  <si>
    <t>Food</t>
  </si>
  <si>
    <t>Pizza House</t>
  </si>
  <si>
    <t>Zieswatsnssungdae</t>
  </si>
  <si>
    <t>Somoon Nangong</t>
  </si>
  <si>
    <t>Kimbab Restaurant</t>
  </si>
  <si>
    <t>CJ Food Bil</t>
  </si>
  <si>
    <t>E-mart</t>
  </si>
  <si>
    <t>Jongrue Choongshin</t>
  </si>
  <si>
    <t>Yeonjidong Branch</t>
  </si>
  <si>
    <t>Samsung Nice</t>
  </si>
  <si>
    <t>Yeoksamgangnam</t>
  </si>
  <si>
    <t>Tax Refund - Jason</t>
  </si>
  <si>
    <t>Country/City</t>
  </si>
  <si>
    <t>Accomodation</t>
  </si>
  <si>
    <t>Activities/Other</t>
  </si>
  <si>
    <t>Transportation</t>
  </si>
  <si>
    <t>Korean Class</t>
  </si>
  <si>
    <t>Total Spent to Date</t>
  </si>
  <si>
    <t>Total Budget</t>
  </si>
  <si>
    <t>Mainland China</t>
  </si>
  <si>
    <t>Mainland China #2</t>
  </si>
  <si>
    <t>Money Remaining inc. Rev</t>
  </si>
  <si>
    <t>Seoul Language Institue</t>
  </si>
  <si>
    <t>Coamat Seowool</t>
  </si>
  <si>
    <t>Baehkwajoomak</t>
  </si>
  <si>
    <t>Reokki Market</t>
  </si>
  <si>
    <t>Coayutonboguangh</t>
  </si>
  <si>
    <t>Sharon Dance</t>
  </si>
  <si>
    <t>Coamart</t>
  </si>
  <si>
    <t>Joo Palikrasangpaliba</t>
  </si>
  <si>
    <t>Kimganae</t>
  </si>
  <si>
    <t>Family Mark</t>
  </si>
  <si>
    <t>Jason Taekwando</t>
  </si>
  <si>
    <t>Gimma</t>
  </si>
  <si>
    <t>Wolfhound Drinking</t>
  </si>
  <si>
    <t>Likong Soondooboo</t>
  </si>
  <si>
    <t>Watson's</t>
  </si>
  <si>
    <t>Young Guang Jung</t>
  </si>
  <si>
    <t>Chabad</t>
  </si>
  <si>
    <t>Gangnam Watson's</t>
  </si>
  <si>
    <t>Hunagso Restaurant</t>
  </si>
  <si>
    <t>Coa Mart Seoul</t>
  </si>
  <si>
    <t>Hamonimat</t>
  </si>
  <si>
    <t>Chingu House</t>
  </si>
  <si>
    <t>Watson's Gangnam</t>
  </si>
  <si>
    <t>Hamoni Mart</t>
  </si>
  <si>
    <t>Hostelworld</t>
  </si>
  <si>
    <t>Yen</t>
  </si>
  <si>
    <t>PulMoowon</t>
  </si>
  <si>
    <t>Hyundae Shopping</t>
  </si>
  <si>
    <t>Dwaenjyang Restaurant</t>
  </si>
  <si>
    <t>Harmoni Mart</t>
  </si>
  <si>
    <t>Japan</t>
  </si>
  <si>
    <t>Technomart Seoul</t>
  </si>
  <si>
    <t>Saeocho Gangwon</t>
  </si>
  <si>
    <t>KungJun Restaurant</t>
  </si>
  <si>
    <t>Kangyunhoikwan</t>
  </si>
  <si>
    <t>Sulzi Gangwon</t>
  </si>
  <si>
    <t>Rail Pass</t>
  </si>
  <si>
    <t>Ferry</t>
  </si>
  <si>
    <t>You and I</t>
  </si>
  <si>
    <t>Remaining Cash</t>
  </si>
  <si>
    <t>Money Exchanged</t>
  </si>
  <si>
    <t>Amazon Mturk</t>
  </si>
  <si>
    <t>Points Advance Charge</t>
  </si>
  <si>
    <t>Aids Foundation</t>
  </si>
  <si>
    <t>24-Hour Fitness</t>
  </si>
  <si>
    <t>All</t>
  </si>
  <si>
    <t>UnAnchor</t>
  </si>
  <si>
    <t>JapanPost Bank</t>
  </si>
  <si>
    <t>Ganko Kyoto</t>
  </si>
  <si>
    <t>Beginning Cash</t>
  </si>
  <si>
    <t>Jeju - Newworld</t>
  </si>
  <si>
    <t>Dunkin Donuts</t>
  </si>
  <si>
    <t>Osaka - Dotonboriten</t>
  </si>
  <si>
    <t>Jeju Babsang</t>
  </si>
  <si>
    <t>Jeju - Seongsan</t>
  </si>
  <si>
    <t>Korea Ferry to Busan</t>
  </si>
  <si>
    <t>Poongjeon Restaurant</t>
  </si>
  <si>
    <t>Black Pig Restaurant</t>
  </si>
  <si>
    <t>Jinjoosikdang Jeju</t>
  </si>
  <si>
    <t>Hanro Mart</t>
  </si>
  <si>
    <t>Christine Gilbert Donation</t>
  </si>
  <si>
    <t>Seogwison - Jeju ATM</t>
  </si>
  <si>
    <t>Jeju Fish Banchan Restaurant</t>
  </si>
  <si>
    <t>South Korea #2</t>
  </si>
  <si>
    <t>Including All Run Rate</t>
  </si>
  <si>
    <t>With Revenue</t>
  </si>
  <si>
    <t>Samsung-Gateba Seoul</t>
  </si>
  <si>
    <t>Inside Outside Seogwipo</t>
  </si>
  <si>
    <t>Seogwipo ATM</t>
  </si>
  <si>
    <t>Small France Hotel</t>
  </si>
  <si>
    <t>GoDaddy.com</t>
  </si>
  <si>
    <t>Wangmandu Seogwipo</t>
  </si>
  <si>
    <t>Tombstone Seogwipo</t>
  </si>
  <si>
    <t>Jungbanking Mat</t>
  </si>
  <si>
    <t>Chunziyun Myong</t>
  </si>
  <si>
    <t>Family Mart</t>
  </si>
  <si>
    <t>Daeggilraz Gwangju</t>
  </si>
  <si>
    <t>EB Co Seongnamsi</t>
  </si>
  <si>
    <t>Little Coffee Gwangju</t>
  </si>
  <si>
    <t>Lemon Restaurant</t>
  </si>
  <si>
    <t>Korea Service Ferry to Mokpo</t>
  </si>
  <si>
    <t>Gueul Gwangju</t>
  </si>
  <si>
    <t>New Yongbong Gwangju</t>
  </si>
  <si>
    <t>Hostelworld - Busan</t>
  </si>
  <si>
    <t>Dongnae Branch Busan</t>
  </si>
  <si>
    <t>Apartment Deposit</t>
  </si>
  <si>
    <t>Seomyeon Jeil</t>
  </si>
  <si>
    <t>Myeongnyun</t>
  </si>
  <si>
    <t>Songkeuk Guangjoo</t>
  </si>
  <si>
    <t>Nolbooboo Busan</t>
  </si>
  <si>
    <t>Express Bus</t>
  </si>
  <si>
    <t>Gohyang Restaurant Busan</t>
  </si>
  <si>
    <t>Bujatjip House Busan</t>
  </si>
  <si>
    <t>Kimbab Chunkook</t>
  </si>
  <si>
    <t>Donenoo Busan</t>
  </si>
  <si>
    <t>Daiso</t>
  </si>
  <si>
    <t>Coremart</t>
  </si>
  <si>
    <t>Restaurant Busan</t>
  </si>
  <si>
    <t>SSSS Gumsi</t>
  </si>
  <si>
    <t>Sodam Seoul</t>
  </si>
  <si>
    <t>Mega Mart</t>
  </si>
  <si>
    <t>Kongbul Restaurant</t>
  </si>
  <si>
    <t>iTunes App</t>
  </si>
  <si>
    <t>Suhmyun Joongang Busan</t>
  </si>
  <si>
    <t>Sinjin Drug Store</t>
  </si>
  <si>
    <t>May Restaurant</t>
  </si>
  <si>
    <t>Save Zone</t>
  </si>
  <si>
    <t>Express Bus Seoul to Daegu</t>
  </si>
  <si>
    <t>Makgeolri Store</t>
  </si>
  <si>
    <t>Dognae Branch Busan</t>
  </si>
  <si>
    <t>Haedsalgadeukh</t>
  </si>
  <si>
    <t>Azit Busan</t>
  </si>
  <si>
    <t>Samgukju Restaurant</t>
  </si>
  <si>
    <t>Keungoeul House</t>
  </si>
  <si>
    <t>Lotdae Shopping</t>
  </si>
  <si>
    <t>Holly's Coffee</t>
  </si>
  <si>
    <t>Ujeong</t>
  </si>
  <si>
    <t>Bongchu Busan</t>
  </si>
  <si>
    <t>Guksu House</t>
  </si>
  <si>
    <t>Cham Yak Kuk</t>
  </si>
  <si>
    <t>LAC Ad</t>
  </si>
  <si>
    <t>Total Spent Minus Rev</t>
  </si>
  <si>
    <t>Lakknrolhawoos</t>
  </si>
  <si>
    <t>Moonhwaguan Busan</t>
  </si>
  <si>
    <t>Busan Aquarium</t>
  </si>
  <si>
    <t>Ivy's Bridesmaid Dress</t>
  </si>
  <si>
    <t>Dolsemkookbap Busan</t>
  </si>
  <si>
    <t>Sinjeon</t>
  </si>
  <si>
    <t>Cheers HOF</t>
  </si>
  <si>
    <t>JetStar</t>
  </si>
  <si>
    <t>China Southern</t>
  </si>
  <si>
    <t>Bonga Myeonok</t>
  </si>
  <si>
    <t>LLS Donation - Lindsey</t>
  </si>
  <si>
    <t>Beer Sky HOF</t>
  </si>
  <si>
    <t>Brain Tumor Donation</t>
  </si>
  <si>
    <t>Estimated Finish Spend</t>
  </si>
  <si>
    <t>Estimated Finish Remaining</t>
  </si>
  <si>
    <t>Deposits</t>
  </si>
</sst>
</file>

<file path=xl/styles.xml><?xml version="1.0" encoding="utf-8"?>
<styleSheet xmlns="http://schemas.openxmlformats.org/spreadsheetml/2006/main">
  <numFmts count="11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-[$฿-41E]* #,##0_-;\-[$฿-41E]* #,##0_-;_-[$฿-41E]* &quot;-&quot;??_-;_-@_-"/>
    <numFmt numFmtId="167" formatCode="_ [$￥-804]* #,##0.00_ ;_ [$￥-804]* \-#,##0.00_ ;_ [$￥-804]* &quot;-&quot;??_ ;_ @_ "/>
    <numFmt numFmtId="168" formatCode="_-[$₩-412]* #,##0.00_-;\-[$₩-412]* #,##0.00_-;_-[$₩-412]* &quot;-&quot;??_-;_-@_-"/>
    <numFmt numFmtId="169" formatCode="_-[$₩-412]* #,##0_-;\-[$₩-412]* #,##0_-;_-[$₩-412]* &quot;-&quot;??_-;_-@_-"/>
    <numFmt numFmtId="170" formatCode="_-[$¥-411]* #,##0.00_-;\-[$¥-411]* #,##0.00_-;_-[$¥-411]* &quot;-&quot;??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8"/>
      <name val="Tahoma"/>
      <family val="2"/>
    </font>
    <font>
      <b/>
      <sz val="8"/>
      <name val="Tahoma"/>
      <family val="2"/>
    </font>
    <font>
      <b/>
      <sz val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double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double"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/>
      <right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3">
    <xf numFmtId="0" fontId="0" fillId="0" borderId="0" xfId="0"/>
    <xf numFmtId="44" fontId="0" fillId="0" borderId="0" xfId="16" applyFont="1"/>
    <xf numFmtId="164" fontId="0" fillId="0" borderId="0" xfId="16" applyNumberFormat="1" applyFont="1"/>
    <xf numFmtId="44" fontId="0" fillId="0" borderId="0" xfId="0" applyNumberFormat="1"/>
    <xf numFmtId="16" fontId="0" fillId="0" borderId="0" xfId="0" applyNumberFormat="1"/>
    <xf numFmtId="0" fontId="2" fillId="0" borderId="0" xfId="0" applyFont="1"/>
    <xf numFmtId="44" fontId="0" fillId="0" borderId="1" xfId="16" applyFont="1" applyBorder="1"/>
    <xf numFmtId="0" fontId="0" fillId="0" borderId="1" xfId="0" applyBorder="1"/>
    <xf numFmtId="0" fontId="0" fillId="0" borderId="2" xfId="0" applyBorder="1"/>
    <xf numFmtId="8" fontId="0" fillId="0" borderId="0" xfId="0" applyNumberFormat="1"/>
    <xf numFmtId="9" fontId="0" fillId="0" borderId="0" xfId="0" applyNumberFormat="1"/>
    <xf numFmtId="9" fontId="0" fillId="0" borderId="0" xfId="15" applyFont="1"/>
    <xf numFmtId="44" fontId="0" fillId="0" borderId="0" xfId="16" applyFont="1" applyBorder="1"/>
    <xf numFmtId="44" fontId="0" fillId="0" borderId="0" xfId="16" applyFont="1" applyFill="1" applyBorder="1"/>
    <xf numFmtId="8" fontId="0" fillId="0" borderId="1" xfId="0" applyNumberFormat="1" applyBorder="1"/>
    <xf numFmtId="44" fontId="0" fillId="0" borderId="1" xfId="0" applyNumberFormat="1" applyBorder="1"/>
    <xf numFmtId="9" fontId="0" fillId="0" borderId="3" xfId="0" applyNumberFormat="1" applyBorder="1"/>
    <xf numFmtId="8" fontId="0" fillId="0" borderId="3" xfId="0" applyNumberFormat="1" applyBorder="1"/>
    <xf numFmtId="9" fontId="0" fillId="0" borderId="2" xfId="0" applyNumberFormat="1" applyBorder="1"/>
    <xf numFmtId="8" fontId="0" fillId="0" borderId="2" xfId="0" applyNumberFormat="1" applyBorder="1"/>
    <xf numFmtId="9" fontId="0" fillId="2" borderId="2" xfId="0" applyNumberFormat="1" applyFill="1" applyBorder="1"/>
    <xf numFmtId="8" fontId="0" fillId="2" borderId="2" xfId="0" applyNumberFormat="1" applyFill="1" applyBorder="1"/>
    <xf numFmtId="0" fontId="0" fillId="0" borderId="4" xfId="0" applyBorder="1" applyAlignment="1">
      <alignment horizontal="right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8" fontId="0" fillId="0" borderId="10" xfId="0" applyNumberFormat="1" applyBorder="1"/>
    <xf numFmtId="8" fontId="0" fillId="0" borderId="11" xfId="0" applyNumberFormat="1" applyBorder="1"/>
    <xf numFmtId="8" fontId="0" fillId="0" borderId="12" xfId="0" applyNumberFormat="1" applyBorder="1"/>
    <xf numFmtId="164" fontId="0" fillId="0" borderId="0" xfId="0" applyNumberFormat="1"/>
    <xf numFmtId="44" fontId="0" fillId="3" borderId="2" xfId="0" applyNumberFormat="1" applyFill="1" applyBorder="1"/>
    <xf numFmtId="44" fontId="0" fillId="3" borderId="2" xfId="16" applyFont="1" applyFill="1" applyBorder="1"/>
    <xf numFmtId="44" fontId="0" fillId="3" borderId="0" xfId="0" applyNumberFormat="1" applyFill="1" applyBorder="1"/>
    <xf numFmtId="44" fontId="0" fillId="3" borderId="0" xfId="16" applyFont="1" applyFill="1" applyBorder="1"/>
    <xf numFmtId="166" fontId="0" fillId="0" borderId="0" xfId="0" applyNumberFormat="1"/>
    <xf numFmtId="167" fontId="0" fillId="0" borderId="0" xfId="16" applyNumberFormat="1" applyFont="1"/>
    <xf numFmtId="168" fontId="0" fillId="0" borderId="0" xfId="16" applyNumberFormat="1" applyFont="1"/>
    <xf numFmtId="168" fontId="0" fillId="0" borderId="0" xfId="0" applyNumberFormat="1"/>
    <xf numFmtId="169" fontId="0" fillId="0" borderId="0" xfId="16" applyNumberFormat="1" applyFont="1"/>
    <xf numFmtId="0" fontId="0" fillId="4" borderId="0" xfId="0" applyFill="1"/>
    <xf numFmtId="0" fontId="2" fillId="4" borderId="2" xfId="0" applyFont="1" applyFill="1" applyBorder="1"/>
    <xf numFmtId="0" fontId="0" fillId="4" borderId="2" xfId="0" applyFill="1" applyBorder="1"/>
    <xf numFmtId="6" fontId="0" fillId="4" borderId="2" xfId="16" applyNumberFormat="1" applyFont="1" applyFill="1" applyBorder="1"/>
    <xf numFmtId="8" fontId="0" fillId="4" borderId="2" xfId="16" applyNumberFormat="1" applyFont="1" applyFill="1" applyBorder="1"/>
    <xf numFmtId="164" fontId="0" fillId="4" borderId="0" xfId="16" applyNumberFormat="1" applyFont="1" applyFill="1"/>
    <xf numFmtId="6" fontId="0" fillId="4" borderId="2" xfId="0" applyNumberFormat="1" applyFill="1" applyBorder="1"/>
    <xf numFmtId="44" fontId="0" fillId="4" borderId="2" xfId="16" applyNumberFormat="1" applyFont="1" applyFill="1" applyBorder="1"/>
    <xf numFmtId="0" fontId="0" fillId="4" borderId="13" xfId="0" applyFill="1" applyBorder="1"/>
    <xf numFmtId="6" fontId="0" fillId="4" borderId="13" xfId="16" applyNumberFormat="1" applyFont="1" applyFill="1" applyBorder="1"/>
    <xf numFmtId="8" fontId="0" fillId="4" borderId="13" xfId="16" applyNumberFormat="1" applyFont="1" applyFill="1" applyBorder="1"/>
    <xf numFmtId="0" fontId="0" fillId="4" borderId="14" xfId="0" applyFill="1" applyBorder="1"/>
    <xf numFmtId="6" fontId="0" fillId="4" borderId="0" xfId="0" applyNumberFormat="1" applyFill="1"/>
    <xf numFmtId="8" fontId="0" fillId="4" borderId="14" xfId="16" applyNumberFormat="1" applyFont="1" applyFill="1" applyBorder="1"/>
    <xf numFmtId="6" fontId="0" fillId="4" borderId="13" xfId="0" applyNumberFormat="1" applyFill="1" applyBorder="1"/>
    <xf numFmtId="44" fontId="0" fillId="4" borderId="13" xfId="16" applyNumberFormat="1" applyFont="1" applyFill="1" applyBorder="1"/>
    <xf numFmtId="8" fontId="0" fillId="4" borderId="0" xfId="0" applyNumberFormat="1" applyFill="1"/>
    <xf numFmtId="0" fontId="2" fillId="4" borderId="15" xfId="0" applyFont="1" applyFill="1" applyBorder="1"/>
    <xf numFmtId="0" fontId="2" fillId="4" borderId="16" xfId="0" applyFont="1" applyFill="1" applyBorder="1"/>
    <xf numFmtId="0" fontId="2" fillId="4" borderId="17" xfId="0" applyFont="1" applyFill="1" applyBorder="1"/>
    <xf numFmtId="0" fontId="0" fillId="4" borderId="3" xfId="0" applyFill="1" applyBorder="1"/>
    <xf numFmtId="6" fontId="0" fillId="4" borderId="3" xfId="0" applyNumberFormat="1" applyFill="1" applyBorder="1"/>
    <xf numFmtId="8" fontId="0" fillId="4" borderId="3" xfId="16" applyNumberFormat="1" applyFont="1" applyFill="1" applyBorder="1"/>
    <xf numFmtId="0" fontId="0" fillId="4" borderId="7" xfId="0" applyFill="1" applyBorder="1"/>
    <xf numFmtId="16" fontId="0" fillId="4" borderId="2" xfId="0" applyNumberFormat="1" applyFill="1" applyBorder="1"/>
    <xf numFmtId="6" fontId="0" fillId="4" borderId="11" xfId="16" applyNumberFormat="1" applyFont="1" applyFill="1" applyBorder="1"/>
    <xf numFmtId="0" fontId="0" fillId="4" borderId="18" xfId="0" applyFill="1" applyBorder="1"/>
    <xf numFmtId="16" fontId="0" fillId="4" borderId="19" xfId="0" applyNumberFormat="1" applyFill="1" applyBorder="1"/>
    <xf numFmtId="6" fontId="0" fillId="4" borderId="20" xfId="16" applyNumberFormat="1" applyFont="1" applyFill="1" applyBorder="1"/>
    <xf numFmtId="0" fontId="0" fillId="4" borderId="21" xfId="0" applyFill="1" applyBorder="1"/>
    <xf numFmtId="16" fontId="0" fillId="4" borderId="13" xfId="0" applyNumberFormat="1" applyFill="1" applyBorder="1"/>
    <xf numFmtId="6" fontId="0" fillId="4" borderId="22" xfId="16" applyNumberFormat="1" applyFont="1" applyFill="1" applyBorder="1"/>
    <xf numFmtId="0" fontId="0" fillId="4" borderId="23" xfId="0" applyFill="1" applyBorder="1"/>
    <xf numFmtId="0" fontId="0" fillId="4" borderId="24" xfId="0" applyFill="1" applyBorder="1"/>
    <xf numFmtId="6" fontId="0" fillId="4" borderId="25" xfId="0" applyNumberFormat="1" applyFill="1" applyBorder="1"/>
    <xf numFmtId="0" fontId="2" fillId="4" borderId="0" xfId="0" applyFont="1" applyFill="1"/>
    <xf numFmtId="44" fontId="0" fillId="4" borderId="0" xfId="0" applyNumberFormat="1" applyFill="1"/>
    <xf numFmtId="0" fontId="2" fillId="4" borderId="3" xfId="0" applyFont="1" applyFill="1" applyBorder="1"/>
    <xf numFmtId="6" fontId="0" fillId="4" borderId="26" xfId="0" applyNumberFormat="1" applyFill="1" applyBorder="1"/>
    <xf numFmtId="165" fontId="0" fillId="4" borderId="26" xfId="18" applyNumberFormat="1" applyFont="1" applyFill="1" applyBorder="1"/>
    <xf numFmtId="9" fontId="0" fillId="4" borderId="2" xfId="15" applyFont="1" applyFill="1" applyBorder="1"/>
    <xf numFmtId="0" fontId="0" fillId="4" borderId="2" xfId="0" applyFill="1" applyBorder="1" applyAlignment="1">
      <alignment horizontal="center"/>
    </xf>
    <xf numFmtId="170" fontId="0" fillId="0" borderId="0" xfId="16" applyNumberFormat="1" applyFont="1"/>
    <xf numFmtId="0" fontId="0" fillId="4" borderId="19" xfId="0" applyFill="1" applyBorder="1"/>
    <xf numFmtId="8" fontId="0" fillId="4" borderId="19" xfId="16" applyNumberFormat="1" applyFont="1" applyFill="1" applyBorder="1"/>
    <xf numFmtId="8" fontId="0" fillId="4" borderId="2" xfId="0" applyNumberFormat="1" applyFill="1" applyBorder="1"/>
    <xf numFmtId="16" fontId="0" fillId="4" borderId="24" xfId="0" applyNumberFormat="1" applyFill="1" applyBorder="1"/>
    <xf numFmtId="6" fontId="0" fillId="4" borderId="25" xfId="16" applyNumberFormat="1" applyFont="1" applyFill="1" applyBorder="1"/>
    <xf numFmtId="9" fontId="0" fillId="4" borderId="0" xfId="15" applyNumberFormat="1" applyFont="1" applyFill="1"/>
    <xf numFmtId="0" fontId="0" fillId="5" borderId="2" xfId="0" applyFill="1" applyBorder="1"/>
    <xf numFmtId="6" fontId="0" fillId="5" borderId="26" xfId="0" applyNumberFormat="1" applyFill="1" applyBorder="1"/>
    <xf numFmtId="9" fontId="0" fillId="5" borderId="2" xfId="15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/>
  </sheetViews>
  <sheetFormatPr defaultColWidth="9.140625" defaultRowHeight="15"/>
  <cols>
    <col min="1" max="1" width="22.00390625" style="0" bestFit="1" customWidth="1"/>
    <col min="2" max="2" width="10.8515625" style="0" bestFit="1" customWidth="1"/>
    <col min="4" max="4" width="2.8515625" style="0" customWidth="1"/>
    <col min="5" max="5" width="15.57421875" style="0" bestFit="1" customWidth="1"/>
    <col min="6" max="6" width="11.57421875" style="0" bestFit="1" customWidth="1"/>
    <col min="8" max="8" width="11.7109375" style="0" bestFit="1" customWidth="1"/>
    <col min="9" max="9" width="16.140625" style="0" bestFit="1" customWidth="1"/>
    <col min="10" max="10" width="14.28125" style="0" bestFit="1" customWidth="1"/>
    <col min="11" max="11" width="10.57421875" style="0" bestFit="1" customWidth="1"/>
  </cols>
  <sheetData>
    <row r="1" spans="1:11" ht="15">
      <c r="A1" s="8" t="s">
        <v>51</v>
      </c>
      <c r="B1" s="19">
        <f>Summary!D9</f>
        <v>125.62158904109589</v>
      </c>
      <c r="F1" t="s">
        <v>57</v>
      </c>
      <c r="G1" t="s">
        <v>58</v>
      </c>
      <c r="H1" t="s">
        <v>59</v>
      </c>
      <c r="I1" t="s">
        <v>60</v>
      </c>
      <c r="J1" t="s">
        <v>61</v>
      </c>
      <c r="K1" t="s">
        <v>40</v>
      </c>
    </row>
    <row r="2" spans="1:11" ht="15">
      <c r="A2" s="8" t="s">
        <v>53</v>
      </c>
      <c r="B2" s="19">
        <f>B1*7</f>
        <v>879.3511232876713</v>
      </c>
      <c r="E2" t="s">
        <v>55</v>
      </c>
      <c r="F2" s="2">
        <v>39000</v>
      </c>
      <c r="G2" s="11">
        <f>F2/($F$2+$F$3)</f>
        <v>0.78</v>
      </c>
      <c r="H2" s="10">
        <v>0.82</v>
      </c>
      <c r="I2" s="9">
        <v>1172.63</v>
      </c>
      <c r="J2" s="9">
        <f>I2*26</f>
        <v>30488.380000000005</v>
      </c>
      <c r="K2" s="3">
        <f>F2-J2</f>
        <v>8511.619999999995</v>
      </c>
    </row>
    <row r="3" spans="1:11" ht="15.75" thickBot="1">
      <c r="A3" s="8" t="s">
        <v>54</v>
      </c>
      <c r="B3" s="19">
        <f>B2*2</f>
        <v>1758.7022465753425</v>
      </c>
      <c r="E3" t="s">
        <v>56</v>
      </c>
      <c r="F3" s="2">
        <v>11000</v>
      </c>
      <c r="G3" s="11">
        <f>F3/($F$2+$F$3)</f>
        <v>0.22</v>
      </c>
      <c r="H3" s="10">
        <v>0.18</v>
      </c>
      <c r="I3" s="14">
        <v>257.41</v>
      </c>
      <c r="J3" s="14">
        <f>I3*26</f>
        <v>6692.660000000001</v>
      </c>
      <c r="K3" s="15">
        <f>F3-J3</f>
        <v>4307.339999999999</v>
      </c>
    </row>
    <row r="4" spans="9:11" ht="16.5" thickBot="1" thickTop="1">
      <c r="I4" s="9">
        <f>I2+I3</f>
        <v>1430.0400000000002</v>
      </c>
      <c r="J4" s="9">
        <f>J2+J3</f>
        <v>37181.04000000001</v>
      </c>
      <c r="K4" s="9">
        <f>K2+K3</f>
        <v>12818.959999999995</v>
      </c>
    </row>
    <row r="5" spans="1:3" ht="15.75" thickBot="1">
      <c r="A5" s="22" t="s">
        <v>69</v>
      </c>
      <c r="B5" s="23" t="s">
        <v>68</v>
      </c>
      <c r="C5" s="24" t="s">
        <v>67</v>
      </c>
    </row>
    <row r="6" spans="1:10" ht="15">
      <c r="A6" s="16">
        <v>1</v>
      </c>
      <c r="B6" s="17">
        <f>B3</f>
        <v>1758.7022465753425</v>
      </c>
      <c r="C6" s="17">
        <f>B6/14</f>
        <v>125.6215890410959</v>
      </c>
      <c r="I6" t="s">
        <v>326</v>
      </c>
      <c r="J6">
        <f>CEILING(Summary!M7/7/2,1)</f>
        <v>19</v>
      </c>
    </row>
    <row r="7" spans="1:10" ht="15">
      <c r="A7" s="18">
        <v>0.9</v>
      </c>
      <c r="B7" s="19">
        <f>A7*$B$3</f>
        <v>1582.8320219178083</v>
      </c>
      <c r="C7" s="19">
        <f>B7/14</f>
        <v>113.05943013698631</v>
      </c>
      <c r="J7" s="9">
        <f>I4*J6</f>
        <v>27170.760000000002</v>
      </c>
    </row>
    <row r="8" spans="1:10" ht="15">
      <c r="A8" s="20">
        <v>0.8</v>
      </c>
      <c r="B8" s="21">
        <f aca="true" t="shared" si="0" ref="B8:B10">A8*$B$3</f>
        <v>1406.9617972602741</v>
      </c>
      <c r="C8" s="21">
        <f aca="true" t="shared" si="1" ref="C8:C10">B8/14</f>
        <v>100.49727123287673</v>
      </c>
      <c r="J8" s="9">
        <f>J7+Summary!M3</f>
        <v>-438.71342632955566</v>
      </c>
    </row>
    <row r="9" spans="1:3" ht="15">
      <c r="A9" s="18">
        <v>0.7</v>
      </c>
      <c r="B9" s="19">
        <f t="shared" si="0"/>
        <v>1231.0915726027397</v>
      </c>
      <c r="C9" s="19">
        <f t="shared" si="1"/>
        <v>87.93511232876712</v>
      </c>
    </row>
    <row r="10" spans="1:3" ht="15">
      <c r="A10" s="18">
        <v>0.6</v>
      </c>
      <c r="B10" s="19">
        <f t="shared" si="0"/>
        <v>1055.2213479452055</v>
      </c>
      <c r="C10" s="19">
        <f t="shared" si="1"/>
        <v>75.37295342465754</v>
      </c>
    </row>
    <row r="11" ht="15.75" thickBot="1"/>
    <row r="12" spans="1:2" ht="15">
      <c r="A12" s="26" t="s">
        <v>60</v>
      </c>
      <c r="B12" s="28">
        <f>I4</f>
        <v>1430.0400000000002</v>
      </c>
    </row>
    <row r="13" spans="1:2" ht="15">
      <c r="A13" s="25" t="s">
        <v>61</v>
      </c>
      <c r="B13" s="29">
        <f>J4</f>
        <v>37181.04000000001</v>
      </c>
    </row>
    <row r="14" spans="1:2" ht="15.75" thickBot="1">
      <c r="A14" s="27" t="s">
        <v>70</v>
      </c>
      <c r="B14" s="30">
        <f>K4</f>
        <v>12818.959999999995</v>
      </c>
    </row>
    <row r="31" spans="2:4" ht="15">
      <c r="B31" t="s">
        <v>291</v>
      </c>
      <c r="C31">
        <v>40328</v>
      </c>
      <c r="D31">
        <v>-3.99</v>
      </c>
    </row>
    <row r="32" ht="15">
      <c r="D32">
        <f>SUM(D12:D31)</f>
        <v>-3.99</v>
      </c>
    </row>
  </sheetData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110"/>
  <sheetViews>
    <sheetView workbookViewId="0" topLeftCell="A1"/>
  </sheetViews>
  <sheetFormatPr defaultColWidth="9.140625" defaultRowHeight="15"/>
  <cols>
    <col min="2" max="2" width="24.57421875" style="0" bestFit="1" customWidth="1"/>
    <col min="3" max="3" width="11.57421875" style="0" bestFit="1" customWidth="1"/>
    <col min="4" max="4" width="15.28125" style="0" bestFit="1" customWidth="1"/>
    <col min="5" max="5" width="10.57421875" style="0" bestFit="1" customWidth="1"/>
    <col min="6" max="6" width="10.57421875" style="0" customWidth="1"/>
    <col min="7" max="7" width="11.421875" style="0" bestFit="1" customWidth="1"/>
    <col min="8" max="8" width="11.7109375" style="0" bestFit="1" customWidth="1"/>
    <col min="9" max="9" width="2.140625" style="0" customWidth="1"/>
    <col min="10" max="10" width="10.57421875" style="0" bestFit="1" customWidth="1"/>
    <col min="13" max="13" width="16.57421875" style="0" bestFit="1" customWidth="1"/>
    <col min="17" max="17" width="14.28125" style="0" bestFit="1" customWidth="1"/>
    <col min="21" max="21" width="12.57421875" style="0" bestFit="1" customWidth="1"/>
  </cols>
  <sheetData>
    <row r="1" spans="1:8" ht="15">
      <c r="A1" s="5" t="s">
        <v>39</v>
      </c>
      <c r="B1" s="5" t="s">
        <v>36</v>
      </c>
      <c r="C1" s="5" t="s">
        <v>37</v>
      </c>
      <c r="D1" s="5" t="s">
        <v>151</v>
      </c>
      <c r="E1" s="5" t="s">
        <v>101</v>
      </c>
      <c r="F1" s="5" t="s">
        <v>159</v>
      </c>
      <c r="G1" s="5" t="s">
        <v>102</v>
      </c>
      <c r="H1" s="5" t="s">
        <v>103</v>
      </c>
    </row>
    <row r="2" spans="1:14" ht="15">
      <c r="A2" s="4">
        <v>40232</v>
      </c>
      <c r="B2" t="s">
        <v>152</v>
      </c>
      <c r="C2" s="1">
        <v>26.18</v>
      </c>
      <c r="D2" s="38">
        <v>30000</v>
      </c>
      <c r="E2" s="32">
        <f>IF(D2&lt;&gt;"",D2/C2,"")</f>
        <v>1145.912910618793</v>
      </c>
      <c r="F2" s="40"/>
      <c r="G2" s="32" t="str">
        <f aca="true" t="shared" si="0" ref="G2">IF(F2&lt;&gt;"",(E2*C2+F2)/C2,"")</f>
        <v/>
      </c>
      <c r="H2" s="33" t="str">
        <f>IF(G2&lt;&gt;"",F2/G2,"")</f>
        <v/>
      </c>
      <c r="J2" s="4">
        <f>'M China (2)'!G3</f>
        <v>40232</v>
      </c>
      <c r="K2" t="s">
        <v>34</v>
      </c>
      <c r="M2" s="4" t="s">
        <v>166</v>
      </c>
      <c r="N2" s="1">
        <v>100</v>
      </c>
    </row>
    <row r="3" spans="1:21" ht="15">
      <c r="A3" s="4">
        <v>40232</v>
      </c>
      <c r="B3" t="s">
        <v>153</v>
      </c>
      <c r="C3" s="1">
        <v>43.63</v>
      </c>
      <c r="D3" s="38">
        <v>50000</v>
      </c>
      <c r="E3" s="32">
        <f aca="true" t="shared" si="1" ref="E3:E89">IF(D3&lt;&gt;"",D3/C3,"")</f>
        <v>1146.0004584001833</v>
      </c>
      <c r="F3" s="40"/>
      <c r="G3" s="32" t="str">
        <f aca="true" t="shared" si="2" ref="G3:G89">IF(F3&lt;&gt;"",(E3*C3+F3)/C3,"")</f>
        <v/>
      </c>
      <c r="H3" s="33" t="str">
        <f aca="true" t="shared" si="3" ref="H3:H89">IF(G3&lt;&gt;"",F3/G3,"")</f>
        <v/>
      </c>
      <c r="J3" s="4">
        <v>40307</v>
      </c>
      <c r="K3" t="s">
        <v>35</v>
      </c>
      <c r="M3" s="4" t="s">
        <v>165</v>
      </c>
      <c r="N3" s="1">
        <f>1100000/1150/60</f>
        <v>15.942028985507246</v>
      </c>
      <c r="Q3" s="40"/>
      <c r="U3" s="39"/>
    </row>
    <row r="4" spans="1:21" ht="15">
      <c r="A4" s="4">
        <v>40233</v>
      </c>
      <c r="B4" t="s">
        <v>154</v>
      </c>
      <c r="C4" s="1">
        <v>87.25</v>
      </c>
      <c r="D4" s="38">
        <v>100000</v>
      </c>
      <c r="E4" s="32">
        <f t="shared" si="1"/>
        <v>1146.1318051575931</v>
      </c>
      <c r="F4" s="40"/>
      <c r="G4" s="32" t="str">
        <f t="shared" si="2"/>
        <v/>
      </c>
      <c r="H4" s="33" t="str">
        <f t="shared" si="3"/>
        <v/>
      </c>
      <c r="J4">
        <f>J3-J2</f>
        <v>75</v>
      </c>
      <c r="K4" t="s">
        <v>32</v>
      </c>
      <c r="M4" t="s">
        <v>167</v>
      </c>
      <c r="N4" s="1">
        <v>25</v>
      </c>
      <c r="P4">
        <v>1150</v>
      </c>
      <c r="Q4" s="40"/>
      <c r="U4" s="39"/>
    </row>
    <row r="5" spans="1:16" ht="15">
      <c r="A5" s="4">
        <v>40233</v>
      </c>
      <c r="B5" t="s">
        <v>156</v>
      </c>
      <c r="C5" s="1">
        <v>13.52</v>
      </c>
      <c r="D5" s="38">
        <v>15500</v>
      </c>
      <c r="E5" s="32">
        <f t="shared" si="1"/>
        <v>1146.4497041420118</v>
      </c>
      <c r="F5" s="40"/>
      <c r="G5" s="32" t="str">
        <f t="shared" si="2"/>
        <v/>
      </c>
      <c r="H5" s="33" t="str">
        <f t="shared" si="3"/>
        <v/>
      </c>
      <c r="J5" s="3">
        <f>C91-Japan!C5</f>
        <v>5273.513835263834</v>
      </c>
      <c r="K5" t="s">
        <v>31</v>
      </c>
      <c r="M5" t="s">
        <v>183</v>
      </c>
      <c r="N5" s="1">
        <f>(O5*2)/30</f>
        <v>19.07246376811594</v>
      </c>
      <c r="O5">
        <f>(280000+49000)/P4</f>
        <v>286.0869565217391</v>
      </c>
      <c r="P5">
        <f>O5/12</f>
        <v>23.840579710144926</v>
      </c>
    </row>
    <row r="6" spans="1:14" ht="15">
      <c r="A6" s="4">
        <v>40234</v>
      </c>
      <c r="B6" t="s">
        <v>158</v>
      </c>
      <c r="C6" s="1">
        <v>89.55</v>
      </c>
      <c r="D6" s="38">
        <v>100000</v>
      </c>
      <c r="E6" s="32">
        <f t="shared" si="1"/>
        <v>1116.6945840312676</v>
      </c>
      <c r="F6" s="40">
        <v>3000</v>
      </c>
      <c r="G6" s="32">
        <f t="shared" si="2"/>
        <v>1150.1954215522057</v>
      </c>
      <c r="H6" s="33">
        <f t="shared" si="3"/>
        <v>2.6082524271844654</v>
      </c>
      <c r="J6" s="3">
        <f>J5/J4</f>
        <v>70.31351780351778</v>
      </c>
      <c r="K6" t="s">
        <v>38</v>
      </c>
      <c r="M6" t="s">
        <v>194</v>
      </c>
      <c r="N6" s="1">
        <f>((15000*8+80000)/1150)/30</f>
        <v>5.797101449275362</v>
      </c>
    </row>
    <row r="7" spans="1:14" ht="15">
      <c r="A7" s="4">
        <v>40234</v>
      </c>
      <c r="B7" t="s">
        <v>160</v>
      </c>
      <c r="C7" s="1">
        <v>6.96</v>
      </c>
      <c r="D7" s="38"/>
      <c r="E7" s="32"/>
      <c r="F7" s="40"/>
      <c r="G7" s="32"/>
      <c r="H7" s="33"/>
      <c r="M7" t="s">
        <v>199</v>
      </c>
      <c r="N7" s="1">
        <f>100/30</f>
        <v>3.3333333333333335</v>
      </c>
    </row>
    <row r="8" spans="1:14" ht="15">
      <c r="A8" s="4">
        <v>40234</v>
      </c>
      <c r="B8" t="s">
        <v>161</v>
      </c>
      <c r="C8" s="1">
        <v>6.28</v>
      </c>
      <c r="D8" s="38"/>
      <c r="E8" s="32"/>
      <c r="F8" s="40"/>
      <c r="G8" s="32"/>
      <c r="H8" s="33"/>
      <c r="J8" s="1"/>
      <c r="N8" s="3">
        <f>SUM(N3:N7)</f>
        <v>69.14492753623188</v>
      </c>
    </row>
    <row r="9" spans="1:10" ht="15">
      <c r="A9" s="4">
        <v>40235</v>
      </c>
      <c r="B9" t="s">
        <v>162</v>
      </c>
      <c r="C9" s="1">
        <v>7.12</v>
      </c>
      <c r="D9" s="38"/>
      <c r="E9" s="32"/>
      <c r="F9" s="40"/>
      <c r="G9" s="32"/>
      <c r="H9" s="33"/>
      <c r="J9" s="1"/>
    </row>
    <row r="10" spans="1:8" ht="15">
      <c r="A10" s="4">
        <v>40235</v>
      </c>
      <c r="B10" t="s">
        <v>163</v>
      </c>
      <c r="C10" s="1">
        <v>12.16</v>
      </c>
      <c r="D10" s="38"/>
      <c r="E10" s="32"/>
      <c r="F10" s="40"/>
      <c r="G10" s="32"/>
      <c r="H10" s="33"/>
    </row>
    <row r="11" spans="1:10" ht="15">
      <c r="A11" s="4">
        <v>40236</v>
      </c>
      <c r="B11" t="s">
        <v>158</v>
      </c>
      <c r="C11" s="1">
        <v>88.92</v>
      </c>
      <c r="D11" s="38">
        <v>100000</v>
      </c>
      <c r="E11" s="32">
        <f t="shared" si="1"/>
        <v>1124.6063877642825</v>
      </c>
      <c r="F11" s="40">
        <v>3000</v>
      </c>
      <c r="G11" s="32">
        <f t="shared" si="2"/>
        <v>1158.344579397211</v>
      </c>
      <c r="H11" s="33">
        <f t="shared" si="3"/>
        <v>2.5899029126213593</v>
      </c>
      <c r="J11" s="4"/>
    </row>
    <row r="12" spans="1:8" ht="15">
      <c r="A12" s="4">
        <v>40237</v>
      </c>
      <c r="B12" t="s">
        <v>158</v>
      </c>
      <c r="C12" s="1">
        <v>132.09</v>
      </c>
      <c r="D12" s="38">
        <v>150000</v>
      </c>
      <c r="E12" s="32">
        <f t="shared" si="1"/>
        <v>1135.5893708834885</v>
      </c>
      <c r="F12" s="40">
        <v>3000</v>
      </c>
      <c r="G12" s="32">
        <f t="shared" si="2"/>
        <v>1158.3011583011582</v>
      </c>
      <c r="H12" s="33">
        <f t="shared" si="3"/>
        <v>2.5900000000000003</v>
      </c>
    </row>
    <row r="13" spans="1:8" ht="15">
      <c r="A13" s="4">
        <v>40238</v>
      </c>
      <c r="B13" t="s">
        <v>168</v>
      </c>
      <c r="C13" s="1">
        <v>4.32</v>
      </c>
      <c r="D13" s="38">
        <v>5000</v>
      </c>
      <c r="E13" s="32">
        <f t="shared" si="1"/>
        <v>1157.4074074074074</v>
      </c>
      <c r="F13" s="40"/>
      <c r="G13" s="32" t="str">
        <f aca="true" t="shared" si="4" ref="G13:G18">IF(F13&lt;&gt;"",(E13*C13+F13)/C13,"")</f>
        <v/>
      </c>
      <c r="H13" s="33" t="str">
        <f aca="true" t="shared" si="5" ref="H13:H18">IF(G13&lt;&gt;"",F13/G13,"")</f>
        <v/>
      </c>
    </row>
    <row r="14" spans="1:8" ht="15">
      <c r="A14" s="4">
        <v>40238</v>
      </c>
      <c r="B14" t="s">
        <v>164</v>
      </c>
      <c r="C14" s="1">
        <v>6.39</v>
      </c>
      <c r="D14" s="38"/>
      <c r="E14" s="32" t="str">
        <f t="shared" si="1"/>
        <v/>
      </c>
      <c r="F14" s="40"/>
      <c r="G14" s="32" t="str">
        <f t="shared" si="4"/>
        <v/>
      </c>
      <c r="H14" s="33" t="str">
        <f t="shared" si="5"/>
        <v/>
      </c>
    </row>
    <row r="15" spans="1:8" ht="15">
      <c r="A15" s="4">
        <v>40238</v>
      </c>
      <c r="B15" t="s">
        <v>174</v>
      </c>
      <c r="C15" s="1">
        <v>86.33</v>
      </c>
      <c r="D15" s="38">
        <v>100000</v>
      </c>
      <c r="E15" s="32">
        <f t="shared" si="1"/>
        <v>1158.3458820803892</v>
      </c>
      <c r="F15" s="40"/>
      <c r="G15" s="32" t="str">
        <f t="shared" si="4"/>
        <v/>
      </c>
      <c r="H15" s="33" t="str">
        <f t="shared" si="5"/>
        <v/>
      </c>
    </row>
    <row r="16" spans="1:8" ht="15">
      <c r="A16" s="4">
        <v>40238</v>
      </c>
      <c r="B16" t="s">
        <v>174</v>
      </c>
      <c r="C16" s="1">
        <v>86.33</v>
      </c>
      <c r="D16" s="38">
        <v>100000</v>
      </c>
      <c r="E16" s="32">
        <f t="shared" si="1"/>
        <v>1158.3458820803892</v>
      </c>
      <c r="F16" s="40"/>
      <c r="G16" s="32" t="str">
        <f t="shared" si="4"/>
        <v/>
      </c>
      <c r="H16" s="33" t="str">
        <f t="shared" si="5"/>
        <v/>
      </c>
    </row>
    <row r="17" spans="1:8" ht="15">
      <c r="A17" s="4">
        <v>40238</v>
      </c>
      <c r="B17" t="s">
        <v>175</v>
      </c>
      <c r="C17" s="1">
        <v>604.33</v>
      </c>
      <c r="D17" s="38">
        <v>700000</v>
      </c>
      <c r="E17" s="32">
        <f t="shared" si="1"/>
        <v>1158.3075472010325</v>
      </c>
      <c r="F17" s="40"/>
      <c r="G17" s="32" t="str">
        <f t="shared" si="4"/>
        <v/>
      </c>
      <c r="H17" s="33" t="str">
        <f t="shared" si="5"/>
        <v/>
      </c>
    </row>
    <row r="18" spans="1:8" ht="15">
      <c r="A18" s="4">
        <v>40238</v>
      </c>
      <c r="B18" t="s">
        <v>158</v>
      </c>
      <c r="C18" s="1">
        <v>347.92</v>
      </c>
      <c r="D18" s="38">
        <v>400000</v>
      </c>
      <c r="E18" s="32">
        <f t="shared" si="1"/>
        <v>1149.6895838123705</v>
      </c>
      <c r="F18" s="40">
        <v>3000</v>
      </c>
      <c r="G18" s="32">
        <f t="shared" si="4"/>
        <v>1158.3122556909634</v>
      </c>
      <c r="H18" s="33">
        <f t="shared" si="5"/>
        <v>2.5899751861042186</v>
      </c>
    </row>
    <row r="19" spans="1:8" ht="15">
      <c r="A19" s="4">
        <v>40239</v>
      </c>
      <c r="B19" t="s">
        <v>158</v>
      </c>
      <c r="C19" s="1">
        <v>349.22</v>
      </c>
      <c r="D19" s="38">
        <v>400000</v>
      </c>
      <c r="E19" s="32">
        <f t="shared" si="1"/>
        <v>1145.409770345341</v>
      </c>
      <c r="F19" s="40">
        <v>3000</v>
      </c>
      <c r="G19" s="32">
        <f aca="true" t="shared" si="6" ref="G19">IF(F19&lt;&gt;"",(E19*C19+F19)/C19,"")</f>
        <v>1154.000343622931</v>
      </c>
      <c r="H19" s="33">
        <f aca="true" t="shared" si="7" ref="H19">IF(G19&lt;&gt;"",F19/G19,"")</f>
        <v>2.5996526054590574</v>
      </c>
    </row>
    <row r="20" spans="1:8" ht="15">
      <c r="A20" s="4">
        <v>40239</v>
      </c>
      <c r="B20" t="s">
        <v>158</v>
      </c>
      <c r="C20" s="1">
        <v>263.71</v>
      </c>
      <c r="D20" s="38">
        <v>300000</v>
      </c>
      <c r="E20" s="32">
        <f t="shared" si="1"/>
        <v>1137.6132873231961</v>
      </c>
      <c r="F20" s="40">
        <v>3000</v>
      </c>
      <c r="G20" s="32">
        <f aca="true" t="shared" si="8" ref="G20:G31">IF(F20&lt;&gt;"",(E20*C20+F20)/C20,"")</f>
        <v>1148.989420196428</v>
      </c>
      <c r="H20" s="33">
        <f aca="true" t="shared" si="9" ref="H20:H31">IF(G20&lt;&gt;"",F20/G20,"")</f>
        <v>2.610990099009901</v>
      </c>
    </row>
    <row r="21" spans="1:8" ht="15">
      <c r="A21" s="4">
        <v>40239</v>
      </c>
      <c r="B21" t="s">
        <v>164</v>
      </c>
      <c r="C21" s="1">
        <v>6.32</v>
      </c>
      <c r="D21" s="38"/>
      <c r="E21" s="32" t="str">
        <f t="shared" si="1"/>
        <v/>
      </c>
      <c r="F21" s="40"/>
      <c r="G21" s="32" t="str">
        <f t="shared" si="8"/>
        <v/>
      </c>
      <c r="H21" s="33" t="str">
        <f t="shared" si="9"/>
        <v/>
      </c>
    </row>
    <row r="22" spans="1:8" ht="15">
      <c r="A22" s="4">
        <v>40239</v>
      </c>
      <c r="B22" t="s">
        <v>169</v>
      </c>
      <c r="C22" s="1">
        <v>6.93</v>
      </c>
      <c r="D22" s="38"/>
      <c r="E22" s="32" t="str">
        <f t="shared" si="1"/>
        <v/>
      </c>
      <c r="F22" s="40"/>
      <c r="G22" s="32" t="str">
        <f t="shared" si="8"/>
        <v/>
      </c>
      <c r="H22" s="33" t="str">
        <f t="shared" si="9"/>
        <v/>
      </c>
    </row>
    <row r="23" spans="1:8" ht="15">
      <c r="A23" s="4">
        <v>40239</v>
      </c>
      <c r="B23" t="s">
        <v>170</v>
      </c>
      <c r="C23" s="1">
        <v>7.8</v>
      </c>
      <c r="D23" s="38"/>
      <c r="E23" s="32" t="str">
        <f t="shared" si="1"/>
        <v/>
      </c>
      <c r="F23" s="40"/>
      <c r="G23" s="32" t="str">
        <f t="shared" si="8"/>
        <v/>
      </c>
      <c r="H23" s="33" t="str">
        <f t="shared" si="9"/>
        <v/>
      </c>
    </row>
    <row r="24" spans="1:8" ht="15">
      <c r="A24" s="4">
        <v>40239</v>
      </c>
      <c r="B24" t="s">
        <v>162</v>
      </c>
      <c r="C24" s="1">
        <v>5.2</v>
      </c>
      <c r="D24" s="38"/>
      <c r="E24" s="32" t="str">
        <f t="shared" si="1"/>
        <v/>
      </c>
      <c r="F24" s="40"/>
      <c r="G24" s="32" t="str">
        <f t="shared" si="8"/>
        <v/>
      </c>
      <c r="H24" s="33" t="str">
        <f t="shared" si="9"/>
        <v/>
      </c>
    </row>
    <row r="25" spans="1:8" ht="15">
      <c r="A25" s="4">
        <v>40239</v>
      </c>
      <c r="B25" t="s">
        <v>171</v>
      </c>
      <c r="C25" s="1">
        <v>6.93</v>
      </c>
      <c r="D25" s="38"/>
      <c r="E25" s="32" t="str">
        <f t="shared" si="1"/>
        <v/>
      </c>
      <c r="F25" s="40"/>
      <c r="G25" s="32" t="str">
        <f t="shared" si="8"/>
        <v/>
      </c>
      <c r="H25" s="33" t="str">
        <f t="shared" si="9"/>
        <v/>
      </c>
    </row>
    <row r="26" spans="1:8" ht="15">
      <c r="A26" s="4">
        <v>40239</v>
      </c>
      <c r="B26" t="s">
        <v>164</v>
      </c>
      <c r="C26" s="1">
        <v>4.29</v>
      </c>
      <c r="D26" s="38"/>
      <c r="E26" s="32" t="str">
        <f t="shared" si="1"/>
        <v/>
      </c>
      <c r="F26" s="40"/>
      <c r="G26" s="32" t="str">
        <f t="shared" si="8"/>
        <v/>
      </c>
      <c r="H26" s="33" t="str">
        <f t="shared" si="9"/>
        <v/>
      </c>
    </row>
    <row r="27" spans="1:8" ht="15">
      <c r="A27" s="4">
        <v>40239</v>
      </c>
      <c r="B27" t="s">
        <v>162</v>
      </c>
      <c r="C27" s="1">
        <v>4.85</v>
      </c>
      <c r="D27" s="38"/>
      <c r="E27" s="32" t="str">
        <f t="shared" si="1"/>
        <v/>
      </c>
      <c r="F27" s="40"/>
      <c r="G27" s="32" t="str">
        <f t="shared" si="8"/>
        <v/>
      </c>
      <c r="H27" s="33" t="str">
        <f t="shared" si="9"/>
        <v/>
      </c>
    </row>
    <row r="28" spans="1:8" ht="15">
      <c r="A28" s="4">
        <v>40239</v>
      </c>
      <c r="B28" t="s">
        <v>172</v>
      </c>
      <c r="C28" s="1">
        <v>6.59</v>
      </c>
      <c r="D28" s="38"/>
      <c r="E28" s="32" t="str">
        <f t="shared" si="1"/>
        <v/>
      </c>
      <c r="F28" s="40"/>
      <c r="G28" s="32" t="str">
        <f t="shared" si="8"/>
        <v/>
      </c>
      <c r="H28" s="33" t="str">
        <f t="shared" si="9"/>
        <v/>
      </c>
    </row>
    <row r="29" spans="1:8" ht="15">
      <c r="A29" s="4">
        <v>40242</v>
      </c>
      <c r="B29" t="s">
        <v>173</v>
      </c>
      <c r="C29" s="1">
        <v>56.38</v>
      </c>
      <c r="D29" s="38"/>
      <c r="E29" s="32" t="str">
        <f t="shared" si="1"/>
        <v/>
      </c>
      <c r="F29" s="40"/>
      <c r="G29" s="32" t="str">
        <f t="shared" si="8"/>
        <v/>
      </c>
      <c r="H29" s="33" t="str">
        <f t="shared" si="9"/>
        <v/>
      </c>
    </row>
    <row r="30" spans="1:8" ht="15">
      <c r="A30" s="4">
        <v>40242</v>
      </c>
      <c r="B30" t="s">
        <v>173</v>
      </c>
      <c r="C30" s="1">
        <v>8.31</v>
      </c>
      <c r="D30" s="38"/>
      <c r="E30" s="32" t="str">
        <f t="shared" si="1"/>
        <v/>
      </c>
      <c r="F30" s="40"/>
      <c r="G30" s="32" t="str">
        <f t="shared" si="8"/>
        <v/>
      </c>
      <c r="H30" s="33" t="str">
        <f t="shared" si="9"/>
        <v/>
      </c>
    </row>
    <row r="31" spans="1:8" ht="15">
      <c r="A31" s="4">
        <v>40242</v>
      </c>
      <c r="B31" t="s">
        <v>176</v>
      </c>
      <c r="C31" s="1">
        <v>265.18</v>
      </c>
      <c r="D31" s="38">
        <v>300000</v>
      </c>
      <c r="E31" s="32">
        <f t="shared" si="1"/>
        <v>1131.3070367297685</v>
      </c>
      <c r="F31" s="40">
        <v>3000</v>
      </c>
      <c r="G31" s="32">
        <f t="shared" si="8"/>
        <v>1142.620107097066</v>
      </c>
      <c r="H31" s="33">
        <f t="shared" si="9"/>
        <v>2.6255445544554457</v>
      </c>
    </row>
    <row r="32" spans="1:8" ht="15">
      <c r="A32" s="4">
        <v>40242</v>
      </c>
      <c r="B32" t="s">
        <v>177</v>
      </c>
      <c r="C32" s="1">
        <v>87.52</v>
      </c>
      <c r="D32" s="38">
        <v>100000</v>
      </c>
      <c r="E32" s="32">
        <f t="shared" si="1"/>
        <v>1142.5959780621572</v>
      </c>
      <c r="F32" s="40"/>
      <c r="G32" s="32" t="str">
        <f aca="true" t="shared" si="10" ref="G32:G88">IF(F32&lt;&gt;"",(E32*C32+F32)/C32,"")</f>
        <v/>
      </c>
      <c r="H32" s="33" t="str">
        <f aca="true" t="shared" si="11" ref="H32:H88">IF(G32&lt;&gt;"",F32/G32,"")</f>
        <v/>
      </c>
    </row>
    <row r="33" spans="1:8" ht="15">
      <c r="A33" s="4">
        <v>40242</v>
      </c>
      <c r="B33" t="s">
        <v>177</v>
      </c>
      <c r="C33" s="1">
        <v>87.52</v>
      </c>
      <c r="D33" s="38">
        <v>100000</v>
      </c>
      <c r="E33" s="32">
        <f t="shared" si="1"/>
        <v>1142.5959780621572</v>
      </c>
      <c r="F33" s="40"/>
      <c r="G33" s="32" t="str">
        <f t="shared" si="10"/>
        <v/>
      </c>
      <c r="H33" s="33" t="str">
        <f t="shared" si="11"/>
        <v/>
      </c>
    </row>
    <row r="34" spans="1:8" ht="15">
      <c r="A34" s="4">
        <v>40242</v>
      </c>
      <c r="B34" t="s">
        <v>177</v>
      </c>
      <c r="C34" s="1">
        <v>87.52</v>
      </c>
      <c r="D34" s="38">
        <v>100000</v>
      </c>
      <c r="E34" s="32">
        <f t="shared" si="1"/>
        <v>1142.5959780621572</v>
      </c>
      <c r="F34" s="40"/>
      <c r="G34" s="32" t="str">
        <f t="shared" si="10"/>
        <v/>
      </c>
      <c r="H34" s="33" t="str">
        <f t="shared" si="11"/>
        <v/>
      </c>
    </row>
    <row r="35" spans="1:8" ht="15">
      <c r="A35" s="4">
        <v>40243</v>
      </c>
      <c r="B35" t="s">
        <v>189</v>
      </c>
      <c r="C35" s="1">
        <v>577.04</v>
      </c>
      <c r="D35" s="38">
        <f>280000*2+40000+29000*2</f>
        <v>658000</v>
      </c>
      <c r="E35" s="32">
        <f t="shared" si="1"/>
        <v>1140.302232080965</v>
      </c>
      <c r="F35" s="40"/>
      <c r="G35" s="32"/>
      <c r="H35" s="33"/>
    </row>
    <row r="36" spans="1:8" ht="15">
      <c r="A36" s="4">
        <v>40245</v>
      </c>
      <c r="B36" t="s">
        <v>190</v>
      </c>
      <c r="C36" s="1">
        <v>3.95</v>
      </c>
      <c r="D36" s="38">
        <v>4500</v>
      </c>
      <c r="E36" s="32">
        <f t="shared" si="1"/>
        <v>1139.240506329114</v>
      </c>
      <c r="F36" s="40"/>
      <c r="G36" s="32"/>
      <c r="H36" s="33"/>
    </row>
    <row r="37" spans="1:8" ht="15">
      <c r="A37" s="4">
        <v>40245</v>
      </c>
      <c r="B37" t="s">
        <v>190</v>
      </c>
      <c r="C37" s="1">
        <v>3.95</v>
      </c>
      <c r="D37" s="38">
        <v>4500</v>
      </c>
      <c r="E37" s="32">
        <f t="shared" si="1"/>
        <v>1139.240506329114</v>
      </c>
      <c r="F37" s="40"/>
      <c r="G37" s="32"/>
      <c r="H37" s="33"/>
    </row>
    <row r="38" spans="1:8" ht="15">
      <c r="A38" s="4">
        <v>40245</v>
      </c>
      <c r="B38" t="s">
        <v>191</v>
      </c>
      <c r="C38" s="1">
        <v>7.02</v>
      </c>
      <c r="D38" s="38"/>
      <c r="E38" s="32" t="str">
        <f t="shared" si="1"/>
        <v/>
      </c>
      <c r="F38" s="40"/>
      <c r="G38" s="32"/>
      <c r="H38" s="33"/>
    </row>
    <row r="39" spans="1:8" ht="15">
      <c r="A39" s="4">
        <v>40245</v>
      </c>
      <c r="B39" t="s">
        <v>192</v>
      </c>
      <c r="C39" s="1">
        <v>29.1</v>
      </c>
      <c r="D39" s="38"/>
      <c r="E39" s="32" t="str">
        <f t="shared" si="1"/>
        <v/>
      </c>
      <c r="F39" s="40"/>
      <c r="G39" s="32"/>
      <c r="H39" s="33"/>
    </row>
    <row r="40" spans="1:8" ht="15">
      <c r="A40" s="4">
        <v>40245</v>
      </c>
      <c r="B40" t="s">
        <v>190</v>
      </c>
      <c r="C40" s="1">
        <v>3.95</v>
      </c>
      <c r="D40" s="38"/>
      <c r="E40" s="32" t="str">
        <f t="shared" si="1"/>
        <v/>
      </c>
      <c r="F40" s="40"/>
      <c r="G40" s="32"/>
      <c r="H40" s="33"/>
    </row>
    <row r="41" spans="1:8" ht="15">
      <c r="A41" s="4">
        <v>40247</v>
      </c>
      <c r="B41" t="s">
        <v>193</v>
      </c>
      <c r="C41" s="1">
        <v>11.93</v>
      </c>
      <c r="D41" s="38"/>
      <c r="E41" s="32" t="str">
        <f t="shared" si="1"/>
        <v/>
      </c>
      <c r="F41" s="40"/>
      <c r="G41" s="32"/>
      <c r="H41" s="33"/>
    </row>
    <row r="42" spans="1:8" ht="15">
      <c r="A42" s="4">
        <v>40249</v>
      </c>
      <c r="B42" t="s">
        <v>173</v>
      </c>
      <c r="C42" s="1">
        <v>4.44</v>
      </c>
      <c r="D42" s="38"/>
      <c r="E42" s="32" t="str">
        <f t="shared" si="1"/>
        <v/>
      </c>
      <c r="F42" s="40"/>
      <c r="G42" s="32"/>
      <c r="H42" s="33"/>
    </row>
    <row r="43" spans="1:8" ht="15">
      <c r="A43" s="4">
        <v>40249</v>
      </c>
      <c r="B43" t="s">
        <v>173</v>
      </c>
      <c r="C43" s="1">
        <v>44.82</v>
      </c>
      <c r="D43" s="38"/>
      <c r="E43" s="32" t="str">
        <f t="shared" si="1"/>
        <v/>
      </c>
      <c r="F43" s="40"/>
      <c r="G43" s="32"/>
      <c r="H43" s="33"/>
    </row>
    <row r="44" spans="1:8" ht="15">
      <c r="A44" s="4">
        <v>40252</v>
      </c>
      <c r="B44" t="s">
        <v>195</v>
      </c>
      <c r="C44" s="1">
        <v>7.98</v>
      </c>
      <c r="D44" s="38">
        <v>9000</v>
      </c>
      <c r="E44" s="32">
        <f t="shared" si="1"/>
        <v>1127.8195488721803</v>
      </c>
      <c r="F44" s="40"/>
      <c r="G44" s="32"/>
      <c r="H44" s="33"/>
    </row>
    <row r="45" spans="1:8" ht="15">
      <c r="A45" s="4">
        <v>40252</v>
      </c>
      <c r="B45" t="s">
        <v>196</v>
      </c>
      <c r="C45" s="1">
        <v>4.08</v>
      </c>
      <c r="D45" s="38"/>
      <c r="E45" s="32" t="str">
        <f t="shared" si="1"/>
        <v/>
      </c>
      <c r="F45" s="40"/>
      <c r="G45" s="32"/>
      <c r="H45" s="33"/>
    </row>
    <row r="46" spans="1:8" ht="15">
      <c r="A46" s="4">
        <v>40252</v>
      </c>
      <c r="B46" t="s">
        <v>197</v>
      </c>
      <c r="C46" s="1">
        <v>7.98</v>
      </c>
      <c r="D46" s="38"/>
      <c r="E46" s="32" t="str">
        <f t="shared" si="1"/>
        <v/>
      </c>
      <c r="F46" s="40"/>
      <c r="G46" s="32"/>
      <c r="H46" s="33"/>
    </row>
    <row r="47" spans="1:8" ht="15">
      <c r="A47" s="4">
        <v>40252</v>
      </c>
      <c r="B47" t="s">
        <v>195</v>
      </c>
      <c r="C47" s="1">
        <v>7.98</v>
      </c>
      <c r="D47" s="38"/>
      <c r="E47" s="32" t="str">
        <f t="shared" si="1"/>
        <v/>
      </c>
      <c r="F47" s="40"/>
      <c r="G47" s="32"/>
      <c r="H47" s="33"/>
    </row>
    <row r="48" spans="1:8" ht="15">
      <c r="A48" s="4">
        <v>40253</v>
      </c>
      <c r="B48" t="s">
        <v>198</v>
      </c>
      <c r="C48" s="1">
        <v>8.69</v>
      </c>
      <c r="D48" s="38"/>
      <c r="E48" s="32" t="str">
        <f t="shared" si="1"/>
        <v/>
      </c>
      <c r="F48" s="40"/>
      <c r="G48" s="32"/>
      <c r="H48" s="33"/>
    </row>
    <row r="49" spans="1:8" ht="15">
      <c r="A49" s="4">
        <v>40253</v>
      </c>
      <c r="B49" t="s">
        <v>192</v>
      </c>
      <c r="C49" s="1">
        <v>14.59</v>
      </c>
      <c r="D49" s="38"/>
      <c r="E49" s="32" t="str">
        <f t="shared" si="1"/>
        <v/>
      </c>
      <c r="F49" s="40"/>
      <c r="G49" s="32"/>
      <c r="H49" s="33"/>
    </row>
    <row r="50" spans="1:8" ht="15">
      <c r="A50" s="4">
        <v>40259</v>
      </c>
      <c r="B50" t="s">
        <v>195</v>
      </c>
      <c r="C50" s="1">
        <v>3.98</v>
      </c>
      <c r="D50" s="38">
        <v>4500</v>
      </c>
      <c r="E50" s="32">
        <f t="shared" si="1"/>
        <v>1130.6532663316582</v>
      </c>
      <c r="F50" s="40"/>
      <c r="G50" s="32"/>
      <c r="H50" s="33"/>
    </row>
    <row r="51" spans="1:8" ht="15">
      <c r="A51" s="4">
        <v>40260</v>
      </c>
      <c r="B51" t="s">
        <v>173</v>
      </c>
      <c r="C51" s="1">
        <v>77.38</v>
      </c>
      <c r="D51" s="38"/>
      <c r="E51" s="32" t="str">
        <f t="shared" si="1"/>
        <v/>
      </c>
      <c r="F51" s="40"/>
      <c r="G51" s="32"/>
      <c r="H51" s="33"/>
    </row>
    <row r="52" spans="1:8" ht="15">
      <c r="A52" s="4">
        <v>40262</v>
      </c>
      <c r="B52" t="s">
        <v>193</v>
      </c>
      <c r="C52" s="1">
        <v>22.74</v>
      </c>
      <c r="D52" s="38"/>
      <c r="E52" s="32" t="str">
        <f t="shared" si="1"/>
        <v/>
      </c>
      <c r="F52" s="40"/>
      <c r="G52" s="32"/>
      <c r="H52" s="33"/>
    </row>
    <row r="53" spans="1:8" ht="15">
      <c r="A53" s="4">
        <v>40266</v>
      </c>
      <c r="B53" t="s">
        <v>177</v>
      </c>
      <c r="C53" s="1">
        <v>87.84</v>
      </c>
      <c r="D53" s="38">
        <v>100000</v>
      </c>
      <c r="E53" s="32">
        <f t="shared" si="1"/>
        <v>1138.4335154826958</v>
      </c>
      <c r="F53" s="40"/>
      <c r="G53" s="32"/>
      <c r="H53" s="33"/>
    </row>
    <row r="54" spans="1:8" ht="15">
      <c r="A54" s="4">
        <v>40266</v>
      </c>
      <c r="B54" t="s">
        <v>177</v>
      </c>
      <c r="C54" s="1">
        <v>87.84</v>
      </c>
      <c r="D54" s="38">
        <v>100000</v>
      </c>
      <c r="E54" s="32">
        <f t="shared" si="1"/>
        <v>1138.4335154826958</v>
      </c>
      <c r="F54" s="40"/>
      <c r="G54" s="32"/>
      <c r="H54" s="33"/>
    </row>
    <row r="55" spans="1:8" ht="15">
      <c r="A55" s="4">
        <v>40266</v>
      </c>
      <c r="B55" t="s">
        <v>200</v>
      </c>
      <c r="C55" s="1">
        <v>35.14</v>
      </c>
      <c r="D55" s="38"/>
      <c r="E55" s="32"/>
      <c r="F55" s="40"/>
      <c r="G55" s="32"/>
      <c r="H55" s="33"/>
    </row>
    <row r="56" spans="1:8" ht="15">
      <c r="A56" s="4">
        <v>40268</v>
      </c>
      <c r="B56" t="s">
        <v>173</v>
      </c>
      <c r="C56" s="1">
        <v>62.41</v>
      </c>
      <c r="D56" s="38"/>
      <c r="E56" s="32"/>
      <c r="F56" s="40"/>
      <c r="G56" s="32"/>
      <c r="H56" s="33"/>
    </row>
    <row r="57" spans="1:8" ht="15">
      <c r="A57" s="4">
        <v>40269</v>
      </c>
      <c r="B57" t="s">
        <v>189</v>
      </c>
      <c r="C57" s="1">
        <v>495.18</v>
      </c>
      <c r="D57" s="38"/>
      <c r="E57" s="32"/>
      <c r="F57" s="40"/>
      <c r="G57" s="32"/>
      <c r="H57" s="33"/>
    </row>
    <row r="58" spans="1:8" ht="15">
      <c r="A58" s="4">
        <v>40270</v>
      </c>
      <c r="B58" t="s">
        <v>177</v>
      </c>
      <c r="C58" s="1">
        <f>88.83*3</f>
        <v>266.49</v>
      </c>
      <c r="D58" s="38">
        <v>300000</v>
      </c>
      <c r="E58" s="32">
        <f t="shared" si="1"/>
        <v>1125.7458065968704</v>
      </c>
      <c r="F58" s="40"/>
      <c r="G58" s="32"/>
      <c r="H58" s="33"/>
    </row>
    <row r="59" spans="1:8" ht="15">
      <c r="A59" s="4">
        <v>40271</v>
      </c>
      <c r="B59" t="s">
        <v>201</v>
      </c>
      <c r="C59" s="1">
        <v>38.58</v>
      </c>
      <c r="D59" s="38"/>
      <c r="E59" s="32"/>
      <c r="F59" s="40"/>
      <c r="G59" s="32"/>
      <c r="H59" s="33"/>
    </row>
    <row r="60" spans="1:8" ht="15">
      <c r="A60" s="4">
        <v>40242</v>
      </c>
      <c r="B60" t="s">
        <v>202</v>
      </c>
      <c r="C60" s="1">
        <v>11.58</v>
      </c>
      <c r="D60" s="38"/>
      <c r="E60" s="32"/>
      <c r="F60" s="40"/>
      <c r="G60" s="32"/>
      <c r="H60" s="33"/>
    </row>
    <row r="61" spans="1:8" ht="15">
      <c r="A61" s="4">
        <v>40242</v>
      </c>
      <c r="B61" t="s">
        <v>193</v>
      </c>
      <c r="C61" s="1">
        <v>23.35</v>
      </c>
      <c r="D61" s="38"/>
      <c r="E61" s="32"/>
      <c r="F61" s="40"/>
      <c r="G61" s="32"/>
      <c r="H61" s="33"/>
    </row>
    <row r="62" spans="1:8" ht="15">
      <c r="A62" s="4">
        <v>40245</v>
      </c>
      <c r="B62" t="s">
        <v>203</v>
      </c>
      <c r="C62" s="1">
        <v>1.12</v>
      </c>
      <c r="D62" s="38"/>
      <c r="E62" s="32"/>
      <c r="F62" s="40"/>
      <c r="G62" s="32"/>
      <c r="H62" s="33"/>
    </row>
    <row r="63" spans="1:8" ht="15">
      <c r="A63" s="4">
        <v>40245</v>
      </c>
      <c r="B63" t="s">
        <v>173</v>
      </c>
      <c r="C63" s="1">
        <v>63.4</v>
      </c>
      <c r="D63" s="38"/>
      <c r="E63" s="32"/>
      <c r="F63" s="40"/>
      <c r="G63" s="32"/>
      <c r="H63" s="33"/>
    </row>
    <row r="64" spans="1:8" ht="15">
      <c r="A64" s="4">
        <v>40246</v>
      </c>
      <c r="B64" t="s">
        <v>204</v>
      </c>
      <c r="C64" s="1">
        <v>26.74</v>
      </c>
      <c r="D64" s="38"/>
      <c r="E64" s="32"/>
      <c r="F64" s="40"/>
      <c r="G64" s="32"/>
      <c r="H64" s="33"/>
    </row>
    <row r="65" spans="1:8" ht="15">
      <c r="A65" s="4">
        <v>40246</v>
      </c>
      <c r="B65" t="s">
        <v>173</v>
      </c>
      <c r="C65" s="1">
        <v>21.21</v>
      </c>
      <c r="D65" s="38"/>
      <c r="E65" s="32"/>
      <c r="F65" s="40"/>
      <c r="G65" s="32"/>
      <c r="H65" s="33"/>
    </row>
    <row r="66" spans="1:8" ht="15">
      <c r="A66" s="4">
        <v>40278</v>
      </c>
      <c r="B66" t="s">
        <v>205</v>
      </c>
      <c r="C66" s="1">
        <v>10</v>
      </c>
      <c r="D66" s="38"/>
      <c r="E66" s="32"/>
      <c r="F66" s="40"/>
      <c r="G66" s="32"/>
      <c r="H66" s="33"/>
    </row>
    <row r="67" spans="1:8" ht="15">
      <c r="A67" s="4">
        <v>40280</v>
      </c>
      <c r="B67" t="s">
        <v>192</v>
      </c>
      <c r="C67" s="1">
        <v>28.99</v>
      </c>
      <c r="D67" s="38"/>
      <c r="E67" s="32"/>
      <c r="F67" s="40"/>
      <c r="G67" s="32"/>
      <c r="H67" s="33"/>
    </row>
    <row r="68" spans="1:8" ht="15">
      <c r="A68" s="4">
        <v>40281</v>
      </c>
      <c r="B68" t="s">
        <v>206</v>
      </c>
      <c r="C68" s="1">
        <f>2.52+3.15</f>
        <v>5.67</v>
      </c>
      <c r="D68" s="38"/>
      <c r="E68" s="32"/>
      <c r="F68" s="40"/>
      <c r="G68" s="32"/>
      <c r="H68" s="33"/>
    </row>
    <row r="69" spans="1:8" ht="15">
      <c r="A69" s="4">
        <v>40281</v>
      </c>
      <c r="B69" t="s">
        <v>207</v>
      </c>
      <c r="C69" s="1">
        <v>9</v>
      </c>
      <c r="D69" s="38">
        <v>10000</v>
      </c>
      <c r="E69" s="32">
        <f t="shared" si="1"/>
        <v>1111.111111111111</v>
      </c>
      <c r="F69" s="40"/>
      <c r="G69" s="32"/>
      <c r="H69" s="33"/>
    </row>
    <row r="70" spans="1:8" ht="15">
      <c r="A70" s="4">
        <v>40284</v>
      </c>
      <c r="B70" t="s">
        <v>177</v>
      </c>
      <c r="C70" s="1">
        <f>90.31*3</f>
        <v>270.93</v>
      </c>
      <c r="D70" s="38">
        <v>300000</v>
      </c>
      <c r="E70" s="32">
        <f t="shared" si="1"/>
        <v>1107.297087808659</v>
      </c>
      <c r="F70" s="40"/>
      <c r="G70" s="32"/>
      <c r="H70" s="33"/>
    </row>
    <row r="71" spans="1:8" ht="15">
      <c r="A71" s="4">
        <v>40284</v>
      </c>
      <c r="B71" t="s">
        <v>173</v>
      </c>
      <c r="C71" s="1">
        <v>70.88</v>
      </c>
      <c r="D71" s="38"/>
      <c r="E71" s="32"/>
      <c r="F71" s="40"/>
      <c r="G71" s="32"/>
      <c r="H71" s="33"/>
    </row>
    <row r="72" spans="1:8" ht="15">
      <c r="A72" s="4">
        <v>40287</v>
      </c>
      <c r="B72" t="s">
        <v>208</v>
      </c>
      <c r="C72" s="1">
        <v>20.42</v>
      </c>
      <c r="D72" s="38"/>
      <c r="E72" s="32"/>
      <c r="F72" s="40"/>
      <c r="G72" s="32"/>
      <c r="H72" s="33"/>
    </row>
    <row r="73" spans="1:8" ht="15">
      <c r="A73" s="4">
        <v>40287</v>
      </c>
      <c r="B73" t="s">
        <v>209</v>
      </c>
      <c r="C73" s="1">
        <v>7.93</v>
      </c>
      <c r="D73" s="38"/>
      <c r="E73" s="32"/>
      <c r="F73" s="40"/>
      <c r="G73" s="32"/>
      <c r="H73" s="33"/>
    </row>
    <row r="74" spans="1:8" ht="15">
      <c r="A74" s="4">
        <v>40287</v>
      </c>
      <c r="B74" t="s">
        <v>210</v>
      </c>
      <c r="C74" s="1">
        <v>9.01</v>
      </c>
      <c r="D74" s="38"/>
      <c r="E74" s="32"/>
      <c r="F74" s="40"/>
      <c r="G74" s="32"/>
      <c r="H74" s="33"/>
    </row>
    <row r="75" spans="1:8" ht="15">
      <c r="A75" s="4">
        <v>40290</v>
      </c>
      <c r="B75" t="s">
        <v>211</v>
      </c>
      <c r="C75" s="1">
        <v>6.23</v>
      </c>
      <c r="D75" s="38"/>
      <c r="E75" s="32"/>
      <c r="F75" s="40"/>
      <c r="G75" s="32"/>
      <c r="H75" s="33"/>
    </row>
    <row r="76" spans="1:8" ht="15">
      <c r="A76" s="4">
        <v>40291</v>
      </c>
      <c r="B76" t="s">
        <v>212</v>
      </c>
      <c r="C76" s="1">
        <v>6.32</v>
      </c>
      <c r="D76" s="38"/>
      <c r="E76" s="32"/>
      <c r="F76" s="40"/>
      <c r="G76" s="32"/>
      <c r="H76" s="33"/>
    </row>
    <row r="77" spans="1:8" ht="15">
      <c r="A77" s="4">
        <v>40292</v>
      </c>
      <c r="B77" t="s">
        <v>173</v>
      </c>
      <c r="C77" s="1">
        <v>45.56</v>
      </c>
      <c r="D77" s="38"/>
      <c r="E77" s="32"/>
      <c r="F77" s="40"/>
      <c r="G77" s="32"/>
      <c r="H77" s="33"/>
    </row>
    <row r="78" spans="1:8" ht="15">
      <c r="A78" s="4">
        <v>40294</v>
      </c>
      <c r="B78" t="s">
        <v>215</v>
      </c>
      <c r="C78" s="1">
        <v>5.41</v>
      </c>
      <c r="D78" s="38"/>
      <c r="E78" s="32"/>
      <c r="F78" s="40"/>
      <c r="G78" s="32"/>
      <c r="H78" s="33"/>
    </row>
    <row r="79" spans="1:8" ht="15">
      <c r="A79" s="4">
        <v>40294</v>
      </c>
      <c r="B79" t="s">
        <v>177</v>
      </c>
      <c r="C79" s="1">
        <v>90.24</v>
      </c>
      <c r="D79" s="38">
        <v>100000</v>
      </c>
      <c r="E79" s="32">
        <f t="shared" si="1"/>
        <v>1108.1560283687943</v>
      </c>
      <c r="F79" s="40"/>
      <c r="G79" s="32"/>
      <c r="H79" s="33"/>
    </row>
    <row r="80" spans="1:8" ht="15">
      <c r="A80" s="4">
        <v>40295</v>
      </c>
      <c r="B80" t="s">
        <v>216</v>
      </c>
      <c r="C80" s="1">
        <v>4.53</v>
      </c>
      <c r="D80" s="38"/>
      <c r="E80" s="32"/>
      <c r="F80" s="40"/>
      <c r="G80" s="32"/>
      <c r="H80" s="33"/>
    </row>
    <row r="81" spans="1:8" ht="15">
      <c r="A81" s="4">
        <v>40296</v>
      </c>
      <c r="B81" t="s">
        <v>217</v>
      </c>
      <c r="C81" s="1">
        <v>42.58</v>
      </c>
      <c r="D81" s="38"/>
      <c r="E81" s="32"/>
      <c r="F81" s="40"/>
      <c r="G81" s="32"/>
      <c r="H81" s="33"/>
    </row>
    <row r="82" spans="1:8" ht="15">
      <c r="A82" s="4">
        <v>40296</v>
      </c>
      <c r="B82" t="s">
        <v>218</v>
      </c>
      <c r="C82" s="1">
        <v>9.09</v>
      </c>
      <c r="D82" s="38"/>
      <c r="E82" s="32"/>
      <c r="F82" s="40"/>
      <c r="G82" s="32"/>
      <c r="H82" s="33"/>
    </row>
    <row r="83" spans="1:8" ht="15">
      <c r="A83" s="4">
        <v>40301</v>
      </c>
      <c r="B83" t="s">
        <v>220</v>
      </c>
      <c r="C83" s="1">
        <v>180.57</v>
      </c>
      <c r="D83" s="38">
        <v>200000</v>
      </c>
      <c r="E83" s="32">
        <f t="shared" si="1"/>
        <v>1107.603699396356</v>
      </c>
      <c r="F83" s="40"/>
      <c r="G83" s="32"/>
      <c r="H83" s="33"/>
    </row>
    <row r="84" spans="1:8" ht="15">
      <c r="A84" s="4">
        <v>40301</v>
      </c>
      <c r="B84" t="s">
        <v>221</v>
      </c>
      <c r="C84" s="1">
        <v>36.11</v>
      </c>
      <c r="D84" s="38"/>
      <c r="E84" s="32" t="str">
        <f t="shared" si="1"/>
        <v/>
      </c>
      <c r="F84" s="40"/>
      <c r="G84" s="32"/>
      <c r="H84" s="33"/>
    </row>
    <row r="85" spans="1:8" ht="15">
      <c r="A85" s="4">
        <v>40301</v>
      </c>
      <c r="B85" t="s">
        <v>222</v>
      </c>
      <c r="C85" s="1">
        <v>34.31</v>
      </c>
      <c r="D85" s="38"/>
      <c r="E85" s="32"/>
      <c r="F85" s="40"/>
      <c r="G85" s="32"/>
      <c r="H85" s="33"/>
    </row>
    <row r="86" spans="1:8" ht="15">
      <c r="A86" s="4">
        <v>40301</v>
      </c>
      <c r="B86" t="s">
        <v>223</v>
      </c>
      <c r="C86" s="1">
        <v>21.22</v>
      </c>
      <c r="D86" s="38"/>
      <c r="E86" s="32"/>
      <c r="F86" s="40"/>
      <c r="G86" s="32"/>
      <c r="H86" s="33"/>
    </row>
    <row r="87" spans="1:8" ht="15">
      <c r="A87" s="4">
        <v>40302</v>
      </c>
      <c r="B87" t="s">
        <v>224</v>
      </c>
      <c r="C87" s="1">
        <v>18.04</v>
      </c>
      <c r="D87" s="38"/>
      <c r="E87" s="32"/>
      <c r="F87" s="40"/>
      <c r="G87" s="32"/>
      <c r="H87" s="33"/>
    </row>
    <row r="88" spans="1:8" ht="15">
      <c r="A88" s="4">
        <v>40305</v>
      </c>
      <c r="B88" t="s">
        <v>173</v>
      </c>
      <c r="C88" s="13">
        <v>12.42</v>
      </c>
      <c r="D88" s="40"/>
      <c r="E88" s="32"/>
      <c r="F88" s="40"/>
      <c r="G88" s="32" t="str">
        <f t="shared" si="10"/>
        <v/>
      </c>
      <c r="H88" s="33" t="str">
        <f t="shared" si="11"/>
        <v/>
      </c>
    </row>
    <row r="89" spans="1:8" ht="15">
      <c r="A89" s="4">
        <v>40305</v>
      </c>
      <c r="B89" t="s">
        <v>227</v>
      </c>
      <c r="C89" s="13">
        <v>1.76</v>
      </c>
      <c r="D89" s="39"/>
      <c r="E89" s="32" t="str">
        <f t="shared" si="1"/>
        <v/>
      </c>
      <c r="F89" s="40"/>
      <c r="G89" s="32" t="str">
        <f t="shared" si="2"/>
        <v/>
      </c>
      <c r="H89" s="33" t="str">
        <f t="shared" si="3"/>
        <v/>
      </c>
    </row>
    <row r="90" spans="1:3" ht="15">
      <c r="A90" s="4">
        <v>40306</v>
      </c>
      <c r="B90" t="s">
        <v>228</v>
      </c>
      <c r="C90" s="13">
        <f>-500000/1110</f>
        <v>-450.45045045045043</v>
      </c>
    </row>
    <row r="91" spans="1:3" ht="15">
      <c r="A91" s="4"/>
      <c r="C91" s="3">
        <f>SUM(C2:C90)</f>
        <v>5462.799549549549</v>
      </c>
    </row>
    <row r="92" ht="15">
      <c r="A92" s="4"/>
    </row>
    <row r="93" ht="15">
      <c r="C93" s="13"/>
    </row>
    <row r="94" ht="15">
      <c r="C94" s="13"/>
    </row>
    <row r="95" spans="1:3" ht="15">
      <c r="A95" s="4"/>
      <c r="C95" s="13"/>
    </row>
    <row r="96" spans="1:3" ht="15">
      <c r="A96" s="4"/>
      <c r="C96" s="13"/>
    </row>
    <row r="97" spans="1:3" ht="15">
      <c r="A97" s="4"/>
      <c r="C97" s="13"/>
    </row>
    <row r="98" spans="1:3" ht="15">
      <c r="A98" s="4"/>
      <c r="C98" s="13"/>
    </row>
    <row r="99" spans="1:3" ht="15">
      <c r="A99" s="4"/>
      <c r="C99" s="13"/>
    </row>
    <row r="100" spans="1:3" ht="15">
      <c r="A100" s="4"/>
      <c r="C100" s="13"/>
    </row>
    <row r="101" spans="1:3" ht="15">
      <c r="A101" s="4"/>
      <c r="C101" s="13"/>
    </row>
    <row r="102" spans="1:3" ht="15">
      <c r="A102" s="4"/>
      <c r="C102" s="13"/>
    </row>
    <row r="103" spans="1:3" ht="15">
      <c r="A103" s="4"/>
      <c r="C103" s="13"/>
    </row>
    <row r="104" spans="1:3" ht="15">
      <c r="A104" s="4"/>
      <c r="C104" s="13"/>
    </row>
    <row r="105" spans="1:3" ht="15">
      <c r="A105" s="4"/>
      <c r="C105" s="13"/>
    </row>
    <row r="106" spans="1:3" ht="15">
      <c r="A106" s="4"/>
      <c r="C106" s="13"/>
    </row>
    <row r="107" spans="1:3" ht="15">
      <c r="A107" s="4"/>
      <c r="C107" s="13"/>
    </row>
    <row r="108" spans="1:3" ht="15">
      <c r="A108" s="4"/>
      <c r="C108" s="13"/>
    </row>
    <row r="109" spans="1:3" ht="15">
      <c r="A109" s="4"/>
      <c r="C109" s="13"/>
    </row>
    <row r="110" spans="1:3" ht="15">
      <c r="A110" s="4"/>
      <c r="C110" s="13"/>
    </row>
  </sheetData>
  <printOptions/>
  <pageMargins left="0.7" right="0.7" top="0.75" bottom="0.75" header="0.3" footer="0.3"/>
  <pageSetup horizontalDpi="200" verticalDpi="200" orientation="portrait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2"/>
  <sheetViews>
    <sheetView workbookViewId="0" topLeftCell="A1">
      <selection activeCell="I7" sqref="I7"/>
    </sheetView>
  </sheetViews>
  <sheetFormatPr defaultColWidth="9.140625" defaultRowHeight="15"/>
  <cols>
    <col min="2" max="2" width="24.57421875" style="0" bestFit="1" customWidth="1"/>
    <col min="3" max="4" width="11.57421875" style="0" bestFit="1" customWidth="1"/>
    <col min="5" max="5" width="10.57421875" style="0" bestFit="1" customWidth="1"/>
    <col min="6" max="6" width="2.140625" style="0" customWidth="1"/>
    <col min="7" max="7" width="10.57421875" style="0" bestFit="1" customWidth="1"/>
    <col min="8" max="8" width="15.421875" style="0" bestFit="1" customWidth="1"/>
  </cols>
  <sheetData>
    <row r="1" spans="1:5" ht="15">
      <c r="A1" s="5" t="s">
        <v>39</v>
      </c>
      <c r="B1" s="5" t="s">
        <v>36</v>
      </c>
      <c r="C1" s="5" t="s">
        <v>37</v>
      </c>
      <c r="D1" s="5" t="s">
        <v>214</v>
      </c>
      <c r="E1" s="5" t="s">
        <v>101</v>
      </c>
    </row>
    <row r="2" spans="1:8" ht="15">
      <c r="A2" s="4">
        <v>40294</v>
      </c>
      <c r="B2" t="s">
        <v>213</v>
      </c>
      <c r="C2" s="1">
        <v>22.36</v>
      </c>
      <c r="D2" s="83"/>
      <c r="E2" s="32" t="str">
        <f>IF(D2&lt;&gt;"",D2/C2,"")</f>
        <v/>
      </c>
      <c r="G2" s="4">
        <f>'South Korea'!J3</f>
        <v>40307</v>
      </c>
      <c r="H2" t="s">
        <v>34</v>
      </c>
    </row>
    <row r="3" spans="1:8" ht="15">
      <c r="A3" s="4">
        <v>40294</v>
      </c>
      <c r="B3" t="s">
        <v>213</v>
      </c>
      <c r="C3" s="1">
        <v>8.94</v>
      </c>
      <c r="D3" s="83"/>
      <c r="E3" s="32" t="str">
        <f aca="true" t="shared" si="0" ref="E3:E12">IF(D3&lt;&gt;"",D3/C3,"")</f>
        <v/>
      </c>
      <c r="G3" s="4">
        <v>40314</v>
      </c>
      <c r="H3" t="s">
        <v>35</v>
      </c>
    </row>
    <row r="4" spans="1:8" ht="15">
      <c r="A4" s="4">
        <v>40302</v>
      </c>
      <c r="B4" t="s">
        <v>225</v>
      </c>
      <c r="C4" s="1">
        <v>611.64</v>
      </c>
      <c r="D4" s="83"/>
      <c r="E4" s="32" t="str">
        <f t="shared" si="0"/>
        <v/>
      </c>
      <c r="G4">
        <f>G3-G2</f>
        <v>7</v>
      </c>
      <c r="H4" t="s">
        <v>32</v>
      </c>
    </row>
    <row r="5" spans="1:8" ht="15">
      <c r="A5" s="4">
        <v>40306</v>
      </c>
      <c r="B5" t="s">
        <v>226</v>
      </c>
      <c r="C5" s="1">
        <f>212000/1120</f>
        <v>189.28571428571428</v>
      </c>
      <c r="D5" s="83"/>
      <c r="E5" s="32" t="str">
        <f t="shared" si="0"/>
        <v/>
      </c>
      <c r="G5" s="3">
        <f>C13</f>
        <v>1816.653011583012</v>
      </c>
      <c r="H5" t="s">
        <v>31</v>
      </c>
    </row>
    <row r="6" spans="1:8" ht="15">
      <c r="A6" s="4">
        <v>40306</v>
      </c>
      <c r="B6" t="s">
        <v>229</v>
      </c>
      <c r="C6" s="1">
        <f>1290*45/1110</f>
        <v>52.2972972972973</v>
      </c>
      <c r="D6" s="83"/>
      <c r="E6" s="32" t="str">
        <f t="shared" si="0"/>
        <v/>
      </c>
      <c r="G6" s="3">
        <f>C13/G4</f>
        <v>259.52185879757315</v>
      </c>
      <c r="H6" t="s">
        <v>38</v>
      </c>
    </row>
    <row r="7" spans="1:9" ht="15">
      <c r="A7" s="4">
        <v>40307</v>
      </c>
      <c r="B7" t="s">
        <v>236</v>
      </c>
      <c r="C7" s="1">
        <v>110.85</v>
      </c>
      <c r="D7" s="83">
        <v>10000</v>
      </c>
      <c r="E7" s="32">
        <f t="shared" si="0"/>
        <v>90.21199819576005</v>
      </c>
      <c r="I7" t="s">
        <v>67</v>
      </c>
    </row>
    <row r="8" spans="1:9" ht="15">
      <c r="A8" s="4">
        <v>40308</v>
      </c>
      <c r="B8" t="s">
        <v>236</v>
      </c>
      <c r="C8" s="1">
        <v>332.55</v>
      </c>
      <c r="D8" s="83">
        <v>30000</v>
      </c>
      <c r="E8" s="32">
        <f t="shared" si="0"/>
        <v>90.21199819576003</v>
      </c>
      <c r="H8" t="s">
        <v>180</v>
      </c>
      <c r="I8" s="2">
        <v>55</v>
      </c>
    </row>
    <row r="9" spans="1:9" ht="15">
      <c r="A9" s="4">
        <v>40309</v>
      </c>
      <c r="B9" t="s">
        <v>236</v>
      </c>
      <c r="C9" s="1">
        <v>326.14</v>
      </c>
      <c r="D9" s="83">
        <v>30000</v>
      </c>
      <c r="E9" s="32">
        <f t="shared" si="0"/>
        <v>91.98503710063163</v>
      </c>
      <c r="H9" t="s">
        <v>167</v>
      </c>
      <c r="I9" s="2">
        <v>50</v>
      </c>
    </row>
    <row r="10" spans="1:9" ht="15">
      <c r="A10" s="4">
        <v>40310</v>
      </c>
      <c r="B10" t="s">
        <v>237</v>
      </c>
      <c r="C10" s="1">
        <v>78.69</v>
      </c>
      <c r="D10" s="83"/>
      <c r="E10" s="32" t="str">
        <f t="shared" si="0"/>
        <v/>
      </c>
      <c r="H10" t="s">
        <v>182</v>
      </c>
      <c r="I10" s="2">
        <v>120</v>
      </c>
    </row>
    <row r="11" spans="1:9" ht="15">
      <c r="A11" s="4">
        <v>40315</v>
      </c>
      <c r="B11" t="s">
        <v>241</v>
      </c>
      <c r="C11" s="13">
        <v>83.9</v>
      </c>
      <c r="D11" s="83"/>
      <c r="E11" s="32" t="str">
        <f t="shared" si="0"/>
        <v/>
      </c>
      <c r="H11" t="s">
        <v>181</v>
      </c>
      <c r="I11" s="2">
        <v>30</v>
      </c>
    </row>
    <row r="12" spans="1:9" ht="15">
      <c r="A12" s="4"/>
      <c r="C12" s="13"/>
      <c r="D12" s="83"/>
      <c r="E12" s="32" t="str">
        <f t="shared" si="0"/>
        <v/>
      </c>
      <c r="I12" s="2">
        <f>SUM(I8:I11)</f>
        <v>255</v>
      </c>
    </row>
    <row r="13" spans="1:3" ht="15">
      <c r="A13" s="4"/>
      <c r="C13" s="3">
        <f>SUM(C2:C12)</f>
        <v>1816.653011583012</v>
      </c>
    </row>
    <row r="14" ht="15">
      <c r="A14" s="4"/>
    </row>
    <row r="15" spans="1:3" ht="15">
      <c r="A15" s="4"/>
      <c r="C15" s="13"/>
    </row>
    <row r="16" spans="1:3" ht="15">
      <c r="A16" s="4"/>
      <c r="C16" s="13"/>
    </row>
    <row r="17" spans="1:3" ht="15">
      <c r="A17" s="4"/>
      <c r="C17" s="13"/>
    </row>
    <row r="18" spans="1:3" ht="15">
      <c r="A18" s="4"/>
      <c r="C18" s="13"/>
    </row>
    <row r="19" spans="1:3" ht="15">
      <c r="A19" s="4"/>
      <c r="C19" s="13"/>
    </row>
    <row r="20" spans="1:3" ht="15">
      <c r="A20" s="4"/>
      <c r="C20" s="13"/>
    </row>
    <row r="21" spans="1:3" ht="15">
      <c r="A21" s="4"/>
      <c r="C21" s="13"/>
    </row>
    <row r="22" spans="1:3" ht="15">
      <c r="A22" s="4"/>
      <c r="C22" s="13"/>
    </row>
    <row r="23" spans="1:3" ht="15">
      <c r="A23" s="4"/>
      <c r="C23" s="13"/>
    </row>
    <row r="24" spans="1:3" ht="15">
      <c r="A24" s="4"/>
      <c r="C24" s="13"/>
    </row>
    <row r="25" spans="1:3" ht="15">
      <c r="A25" s="4"/>
      <c r="C25" s="13"/>
    </row>
    <row r="26" spans="1:3" ht="15">
      <c r="A26" s="4"/>
      <c r="C26" s="13"/>
    </row>
    <row r="27" spans="1:3" ht="15">
      <c r="A27" s="4"/>
      <c r="C27" s="13"/>
    </row>
    <row r="28" spans="1:3" ht="15">
      <c r="A28" s="4"/>
      <c r="C28" s="13"/>
    </row>
    <row r="29" spans="1:3" ht="15">
      <c r="A29" s="4"/>
      <c r="C29" s="13"/>
    </row>
    <row r="30" spans="1:3" ht="15">
      <c r="A30" s="4"/>
      <c r="C30" s="13"/>
    </row>
    <row r="31" spans="1:3" ht="15">
      <c r="A31" s="4"/>
      <c r="C31" s="13"/>
    </row>
    <row r="32" spans="1:3" ht="15">
      <c r="A32" s="4"/>
      <c r="C32" s="13"/>
    </row>
  </sheetData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150"/>
  <sheetViews>
    <sheetView workbookViewId="0" topLeftCell="A1"/>
  </sheetViews>
  <sheetFormatPr defaultColWidth="9.140625" defaultRowHeight="15"/>
  <cols>
    <col min="2" max="2" width="27.421875" style="0" bestFit="1" customWidth="1"/>
    <col min="3" max="3" width="11.57421875" style="0" bestFit="1" customWidth="1"/>
    <col min="4" max="4" width="17.421875" style="0" bestFit="1" customWidth="1"/>
    <col min="5" max="5" width="10.57421875" style="0" bestFit="1" customWidth="1"/>
    <col min="6" max="6" width="10.57421875" style="0" customWidth="1"/>
    <col min="7" max="7" width="11.421875" style="0" bestFit="1" customWidth="1"/>
    <col min="8" max="8" width="11.7109375" style="0" bestFit="1" customWidth="1"/>
    <col min="9" max="9" width="2.140625" style="0" customWidth="1"/>
    <col min="10" max="10" width="10.57421875" style="0" bestFit="1" customWidth="1"/>
    <col min="13" max="13" width="16.57421875" style="0" bestFit="1" customWidth="1"/>
    <col min="17" max="17" width="14.28125" style="0" bestFit="1" customWidth="1"/>
    <col min="21" max="21" width="12.57421875" style="0" bestFit="1" customWidth="1"/>
  </cols>
  <sheetData>
    <row r="1" spans="1:8" ht="15">
      <c r="A1" s="5" t="s">
        <v>39</v>
      </c>
      <c r="B1" s="5" t="s">
        <v>36</v>
      </c>
      <c r="C1" s="5" t="s">
        <v>37</v>
      </c>
      <c r="D1" s="5" t="s">
        <v>151</v>
      </c>
      <c r="E1" s="5" t="s">
        <v>101</v>
      </c>
      <c r="F1" s="5" t="s">
        <v>159</v>
      </c>
      <c r="G1" s="5" t="s">
        <v>102</v>
      </c>
      <c r="H1" s="5" t="s">
        <v>103</v>
      </c>
    </row>
    <row r="2" spans="1:14" ht="15">
      <c r="A2" s="4">
        <v>40314</v>
      </c>
      <c r="B2" t="s">
        <v>238</v>
      </c>
      <c r="C2" s="1">
        <f>500000/1110</f>
        <v>450.45045045045043</v>
      </c>
      <c r="D2" s="38"/>
      <c r="E2" s="32" t="str">
        <f>IF(D2&lt;&gt;"",D2/C2,"")</f>
        <v/>
      </c>
      <c r="F2" s="40"/>
      <c r="G2" s="32" t="str">
        <f aca="true" t="shared" si="0" ref="G2:G39">IF(F2&lt;&gt;"",(E2*C2+F2)/C2,"")</f>
        <v/>
      </c>
      <c r="H2" s="33" t="str">
        <f>IF(G2&lt;&gt;"",F2/G2,"")</f>
        <v/>
      </c>
      <c r="J2" s="4">
        <f>Japan!G3</f>
        <v>40314</v>
      </c>
      <c r="K2" t="s">
        <v>34</v>
      </c>
      <c r="M2" s="4" t="s">
        <v>166</v>
      </c>
      <c r="N2" s="1">
        <v>100</v>
      </c>
    </row>
    <row r="3" spans="1:21" ht="15">
      <c r="A3" s="4">
        <v>40315</v>
      </c>
      <c r="B3" t="s">
        <v>239</v>
      </c>
      <c r="C3" s="1">
        <v>7.87</v>
      </c>
      <c r="D3" s="38"/>
      <c r="E3" s="32" t="str">
        <f aca="true" t="shared" si="1" ref="E3:E39">IF(D3&lt;&gt;"",D3/C3,"")</f>
        <v/>
      </c>
      <c r="F3" s="40"/>
      <c r="G3" s="32" t="str">
        <f t="shared" si="0"/>
        <v/>
      </c>
      <c r="H3" s="33" t="str">
        <f aca="true" t="shared" si="2" ref="H3:H39">IF(G3&lt;&gt;"",F3/G3,"")</f>
        <v/>
      </c>
      <c r="J3" s="4">
        <v>40371</v>
      </c>
      <c r="K3" t="s">
        <v>35</v>
      </c>
      <c r="M3" s="4" t="s">
        <v>165</v>
      </c>
      <c r="N3" s="1">
        <f>1100000/1150/60</f>
        <v>15.942028985507246</v>
      </c>
      <c r="Q3" s="40"/>
      <c r="U3" s="39"/>
    </row>
    <row r="4" spans="1:21" ht="15">
      <c r="A4" s="4">
        <v>40315</v>
      </c>
      <c r="B4" t="s">
        <v>240</v>
      </c>
      <c r="C4" s="1">
        <v>6.03</v>
      </c>
      <c r="D4" s="38"/>
      <c r="E4" s="32" t="str">
        <f t="shared" si="1"/>
        <v/>
      </c>
      <c r="F4" s="40"/>
      <c r="G4" s="32" t="str">
        <f t="shared" si="0"/>
        <v/>
      </c>
      <c r="H4" s="33" t="str">
        <f t="shared" si="2"/>
        <v/>
      </c>
      <c r="J4">
        <f>J3-J2</f>
        <v>57</v>
      </c>
      <c r="K4" t="s">
        <v>32</v>
      </c>
      <c r="M4" t="s">
        <v>167</v>
      </c>
      <c r="N4" s="1">
        <v>25</v>
      </c>
      <c r="P4">
        <v>1150</v>
      </c>
      <c r="Q4" s="40"/>
      <c r="U4" s="39"/>
    </row>
    <row r="5" spans="1:16" ht="15">
      <c r="A5" s="4">
        <v>40315</v>
      </c>
      <c r="B5" t="s">
        <v>242</v>
      </c>
      <c r="C5" s="1">
        <v>17.73</v>
      </c>
      <c r="D5" s="38"/>
      <c r="E5" s="32" t="str">
        <f t="shared" si="1"/>
        <v/>
      </c>
      <c r="F5" s="40"/>
      <c r="G5" s="32" t="str">
        <f t="shared" si="0"/>
        <v/>
      </c>
      <c r="H5" s="33" t="str">
        <f t="shared" si="2"/>
        <v/>
      </c>
      <c r="J5" s="3">
        <f>C131-J8</f>
        <v>4019.940450450453</v>
      </c>
      <c r="K5" t="s">
        <v>31</v>
      </c>
      <c r="M5" t="s">
        <v>183</v>
      </c>
      <c r="N5" s="1">
        <f>(O5*2)/30</f>
        <v>19.07246376811594</v>
      </c>
      <c r="O5">
        <f>(280000+49000)/P4</f>
        <v>286.0869565217391</v>
      </c>
      <c r="P5">
        <f>O5/12</f>
        <v>23.840579710144926</v>
      </c>
    </row>
    <row r="6" spans="1:14" ht="15">
      <c r="A6" s="4">
        <v>40316</v>
      </c>
      <c r="B6" t="s">
        <v>239</v>
      </c>
      <c r="C6" s="1">
        <v>8.75</v>
      </c>
      <c r="D6" s="38"/>
      <c r="E6" s="32" t="str">
        <f t="shared" si="1"/>
        <v/>
      </c>
      <c r="F6" s="40"/>
      <c r="G6" s="32" t="str">
        <f t="shared" si="0"/>
        <v/>
      </c>
      <c r="H6" s="33" t="str">
        <f t="shared" si="2"/>
        <v/>
      </c>
      <c r="J6" s="3">
        <f>J5/J4</f>
        <v>70.52527106053427</v>
      </c>
      <c r="K6" t="s">
        <v>38</v>
      </c>
      <c r="M6" t="s">
        <v>194</v>
      </c>
      <c r="N6" s="1">
        <f>((15000*8+80000)/1150)/30</f>
        <v>5.797101449275362</v>
      </c>
    </row>
    <row r="7" spans="1:14" ht="15">
      <c r="A7" s="4">
        <v>40316</v>
      </c>
      <c r="B7" t="s">
        <v>243</v>
      </c>
      <c r="C7" s="1">
        <v>7</v>
      </c>
      <c r="D7" s="38"/>
      <c r="E7" s="32" t="str">
        <f t="shared" si="1"/>
        <v/>
      </c>
      <c r="F7" s="40"/>
      <c r="G7" s="32" t="str">
        <f t="shared" si="0"/>
        <v/>
      </c>
      <c r="H7" s="33" t="str">
        <f t="shared" si="2"/>
        <v/>
      </c>
      <c r="M7" t="s">
        <v>199</v>
      </c>
      <c r="N7" s="1">
        <f>100/30</f>
        <v>3.3333333333333335</v>
      </c>
    </row>
    <row r="8" spans="1:14" ht="15">
      <c r="A8" s="4">
        <v>40316</v>
      </c>
      <c r="B8" t="s">
        <v>244</v>
      </c>
      <c r="C8" s="1">
        <v>68.25</v>
      </c>
      <c r="D8" s="38"/>
      <c r="E8" s="32" t="str">
        <f t="shared" si="1"/>
        <v/>
      </c>
      <c r="F8" s="40"/>
      <c r="G8" s="32" t="str">
        <f t="shared" si="0"/>
        <v/>
      </c>
      <c r="H8" s="33" t="str">
        <f t="shared" si="2"/>
        <v/>
      </c>
      <c r="J8" s="1">
        <v>838.86</v>
      </c>
      <c r="K8" t="s">
        <v>274</v>
      </c>
      <c r="N8" s="3">
        <f>SUM(N3:N7)</f>
        <v>69.14492753623188</v>
      </c>
    </row>
    <row r="9" spans="1:10" ht="15">
      <c r="A9" s="4">
        <v>40316</v>
      </c>
      <c r="B9" t="s">
        <v>245</v>
      </c>
      <c r="C9" s="1">
        <v>28</v>
      </c>
      <c r="D9" s="38"/>
      <c r="E9" s="32" t="str">
        <f t="shared" si="1"/>
        <v/>
      </c>
      <c r="F9" s="40"/>
      <c r="G9" s="32" t="str">
        <f t="shared" si="0"/>
        <v/>
      </c>
      <c r="H9" s="33" t="str">
        <f t="shared" si="2"/>
        <v/>
      </c>
      <c r="J9" s="1"/>
    </row>
    <row r="10" spans="1:8" ht="15">
      <c r="A10" s="4">
        <v>40317</v>
      </c>
      <c r="B10" t="s">
        <v>246</v>
      </c>
      <c r="C10" s="1">
        <v>41.88</v>
      </c>
      <c r="D10" s="38"/>
      <c r="E10" s="32" t="str">
        <f t="shared" si="1"/>
        <v/>
      </c>
      <c r="F10" s="40"/>
      <c r="G10" s="32" t="str">
        <f t="shared" si="0"/>
        <v/>
      </c>
      <c r="H10" s="33" t="str">
        <f t="shared" si="2"/>
        <v/>
      </c>
    </row>
    <row r="11" spans="1:10" ht="15">
      <c r="A11" s="4">
        <v>40318</v>
      </c>
      <c r="B11" t="s">
        <v>247</v>
      </c>
      <c r="C11" s="1">
        <v>27.65</v>
      </c>
      <c r="D11" s="38"/>
      <c r="E11" s="32" t="str">
        <f t="shared" si="1"/>
        <v/>
      </c>
      <c r="F11" s="40"/>
      <c r="G11" s="32" t="str">
        <f t="shared" si="0"/>
        <v/>
      </c>
      <c r="H11" s="33" t="str">
        <f t="shared" si="2"/>
        <v/>
      </c>
      <c r="J11" s="4"/>
    </row>
    <row r="12" spans="1:8" ht="15">
      <c r="A12" s="4">
        <v>40318</v>
      </c>
      <c r="B12" t="s">
        <v>240</v>
      </c>
      <c r="C12" s="1">
        <v>5.7</v>
      </c>
      <c r="D12" s="38"/>
      <c r="E12" s="32" t="str">
        <f t="shared" si="1"/>
        <v/>
      </c>
      <c r="F12" s="40"/>
      <c r="G12" s="32" t="str">
        <f t="shared" si="0"/>
        <v/>
      </c>
      <c r="H12" s="33" t="str">
        <f t="shared" si="2"/>
        <v/>
      </c>
    </row>
    <row r="13" spans="1:8" ht="15">
      <c r="A13" s="4">
        <v>40318</v>
      </c>
      <c r="B13" t="s">
        <v>173</v>
      </c>
      <c r="C13" s="1">
        <v>6.34</v>
      </c>
      <c r="D13" s="38"/>
      <c r="E13" s="32" t="str">
        <f t="shared" si="1"/>
        <v/>
      </c>
      <c r="F13" s="40"/>
      <c r="G13" s="32" t="str">
        <f t="shared" si="0"/>
        <v/>
      </c>
      <c r="H13" s="33" t="str">
        <f t="shared" si="2"/>
        <v/>
      </c>
    </row>
    <row r="14" spans="1:8" ht="15">
      <c r="A14" s="4">
        <v>40319</v>
      </c>
      <c r="B14" t="s">
        <v>248</v>
      </c>
      <c r="C14" s="1">
        <v>19.94</v>
      </c>
      <c r="D14" s="38"/>
      <c r="E14" s="32" t="str">
        <f t="shared" si="1"/>
        <v/>
      </c>
      <c r="F14" s="40"/>
      <c r="G14" s="32" t="str">
        <f t="shared" si="0"/>
        <v/>
      </c>
      <c r="H14" s="33" t="str">
        <f t="shared" si="2"/>
        <v/>
      </c>
    </row>
    <row r="15" spans="1:8" ht="15">
      <c r="A15" s="4">
        <v>40319</v>
      </c>
      <c r="B15" t="s">
        <v>250</v>
      </c>
      <c r="C15" s="1">
        <v>85.55</v>
      </c>
      <c r="D15" s="38">
        <v>100000</v>
      </c>
      <c r="E15" s="32">
        <f t="shared" si="1"/>
        <v>1168.907071887785</v>
      </c>
      <c r="F15" s="40"/>
      <c r="G15" s="32" t="str">
        <f t="shared" si="0"/>
        <v/>
      </c>
      <c r="H15" s="33" t="str">
        <f t="shared" si="2"/>
        <v/>
      </c>
    </row>
    <row r="16" spans="1:8" ht="15">
      <c r="A16" s="4">
        <v>40319</v>
      </c>
      <c r="B16" t="s">
        <v>251</v>
      </c>
      <c r="C16" s="1">
        <v>11.98</v>
      </c>
      <c r="D16" s="38">
        <v>14000</v>
      </c>
      <c r="E16" s="32">
        <f t="shared" si="1"/>
        <v>1168.6143572621036</v>
      </c>
      <c r="F16" s="40"/>
      <c r="G16" s="32" t="str">
        <f t="shared" si="0"/>
        <v/>
      </c>
      <c r="H16" s="33" t="str">
        <f t="shared" si="2"/>
        <v/>
      </c>
    </row>
    <row r="17" spans="1:8" ht="15">
      <c r="A17" s="4">
        <v>40320</v>
      </c>
      <c r="B17" t="s">
        <v>258</v>
      </c>
      <c r="C17" s="1">
        <v>125.52</v>
      </c>
      <c r="D17" s="38">
        <v>150000</v>
      </c>
      <c r="E17" s="32">
        <f t="shared" si="1"/>
        <v>1195.0286806883366</v>
      </c>
      <c r="F17" s="40"/>
      <c r="G17" s="32"/>
      <c r="H17" s="33"/>
    </row>
    <row r="18" spans="1:8" ht="15">
      <c r="A18" s="4">
        <v>40320</v>
      </c>
      <c r="B18" t="s">
        <v>256</v>
      </c>
      <c r="C18" s="1">
        <v>11.72</v>
      </c>
      <c r="D18" s="38"/>
      <c r="E18" s="32"/>
      <c r="F18" s="40"/>
      <c r="G18" s="32"/>
      <c r="H18" s="33"/>
    </row>
    <row r="19" spans="1:8" ht="15">
      <c r="A19" s="4">
        <v>40322</v>
      </c>
      <c r="B19" t="s">
        <v>257</v>
      </c>
      <c r="C19" s="1">
        <v>83.68</v>
      </c>
      <c r="D19" s="38">
        <v>100000</v>
      </c>
      <c r="E19" s="32">
        <f t="shared" si="1"/>
        <v>1195.0286806883364</v>
      </c>
      <c r="F19" s="40"/>
      <c r="G19" s="32"/>
      <c r="H19" s="33"/>
    </row>
    <row r="20" spans="1:8" ht="15">
      <c r="A20" s="4">
        <v>40322</v>
      </c>
      <c r="B20" t="s">
        <v>260</v>
      </c>
      <c r="C20" s="1">
        <v>7.53</v>
      </c>
      <c r="D20" s="38"/>
      <c r="E20" s="32" t="str">
        <f t="shared" si="1"/>
        <v/>
      </c>
      <c r="F20" s="40"/>
      <c r="G20" s="32"/>
      <c r="H20" s="33"/>
    </row>
    <row r="21" spans="1:8" ht="15">
      <c r="A21" s="4">
        <v>40322</v>
      </c>
      <c r="B21" t="s">
        <v>258</v>
      </c>
      <c r="C21" s="1">
        <v>41.84</v>
      </c>
      <c r="D21" s="38">
        <v>50000</v>
      </c>
      <c r="E21" s="32">
        <f t="shared" si="1"/>
        <v>1195.0286806883364</v>
      </c>
      <c r="F21" s="40"/>
      <c r="G21" s="32"/>
      <c r="H21" s="33"/>
    </row>
    <row r="22" spans="1:8" ht="15">
      <c r="A22" s="4">
        <v>40322</v>
      </c>
      <c r="B22" t="s">
        <v>261</v>
      </c>
      <c r="C22" s="1">
        <v>18.41</v>
      </c>
      <c r="D22" s="38">
        <v>22000</v>
      </c>
      <c r="E22" s="32">
        <f t="shared" si="1"/>
        <v>1195.0027159152635</v>
      </c>
      <c r="F22" s="40"/>
      <c r="G22" s="32"/>
      <c r="H22" s="33"/>
    </row>
    <row r="23" spans="1:8" ht="15">
      <c r="A23" s="4">
        <v>40322</v>
      </c>
      <c r="B23" t="s">
        <v>262</v>
      </c>
      <c r="C23" s="1">
        <v>16.6</v>
      </c>
      <c r="D23" s="38"/>
      <c r="E23" s="32" t="str">
        <f t="shared" si="1"/>
        <v/>
      </c>
      <c r="F23" s="40"/>
      <c r="G23" s="32"/>
      <c r="H23" s="33"/>
    </row>
    <row r="24" spans="1:8" ht="15">
      <c r="A24" s="4">
        <v>40322</v>
      </c>
      <c r="B24" t="s">
        <v>256</v>
      </c>
      <c r="C24" s="1">
        <v>11.72</v>
      </c>
      <c r="D24" s="38"/>
      <c r="E24" s="32" t="str">
        <f t="shared" si="1"/>
        <v/>
      </c>
      <c r="F24" s="40"/>
      <c r="G24" s="32"/>
      <c r="H24" s="33"/>
    </row>
    <row r="25" spans="1:8" ht="15">
      <c r="A25" s="4">
        <v>40322</v>
      </c>
      <c r="B25" t="s">
        <v>263</v>
      </c>
      <c r="C25" s="1">
        <v>9.21</v>
      </c>
      <c r="D25" s="38"/>
      <c r="E25" s="32" t="str">
        <f t="shared" si="1"/>
        <v/>
      </c>
      <c r="F25" s="40"/>
      <c r="G25" s="32"/>
      <c r="H25" s="33"/>
    </row>
    <row r="26" spans="1:8" ht="15">
      <c r="A26" s="4">
        <v>40323</v>
      </c>
      <c r="B26" t="s">
        <v>262</v>
      </c>
      <c r="C26" s="1">
        <v>5.1</v>
      </c>
      <c r="D26" s="38"/>
      <c r="E26" s="32" t="str">
        <f t="shared" si="1"/>
        <v/>
      </c>
      <c r="F26" s="40"/>
      <c r="G26" s="32"/>
      <c r="H26" s="33"/>
    </row>
    <row r="27" spans="1:8" ht="15">
      <c r="A27" s="4">
        <v>40323</v>
      </c>
      <c r="B27" t="s">
        <v>264</v>
      </c>
      <c r="C27" s="1">
        <v>1.99</v>
      </c>
      <c r="D27" s="38"/>
      <c r="E27" s="32" t="str">
        <f t="shared" si="1"/>
        <v/>
      </c>
      <c r="F27" s="40"/>
      <c r="G27" s="32"/>
      <c r="H27" s="33"/>
    </row>
    <row r="28" spans="1:8" ht="15">
      <c r="A28" s="4">
        <v>40323</v>
      </c>
      <c r="B28" t="s">
        <v>260</v>
      </c>
      <c r="C28" s="1">
        <v>8.72</v>
      </c>
      <c r="D28" s="38"/>
      <c r="E28" s="32" t="str">
        <f t="shared" si="1"/>
        <v/>
      </c>
      <c r="F28" s="40"/>
      <c r="G28" s="32"/>
      <c r="H28" s="33"/>
    </row>
    <row r="29" spans="1:8" ht="15">
      <c r="A29" s="4">
        <v>40325</v>
      </c>
      <c r="B29" t="s">
        <v>265</v>
      </c>
      <c r="C29" s="1">
        <v>20.16</v>
      </c>
      <c r="D29" s="38"/>
      <c r="E29" s="32" t="str">
        <f t="shared" si="1"/>
        <v/>
      </c>
      <c r="F29" s="40"/>
      <c r="G29" s="32"/>
      <c r="H29" s="33"/>
    </row>
    <row r="30" spans="1:8" ht="15">
      <c r="A30" s="4">
        <v>40325</v>
      </c>
      <c r="B30" t="s">
        <v>266</v>
      </c>
      <c r="C30" s="1">
        <v>8.55</v>
      </c>
      <c r="D30" s="38"/>
      <c r="E30" s="32" t="str">
        <f t="shared" si="1"/>
        <v/>
      </c>
      <c r="F30" s="40"/>
      <c r="G30" s="32"/>
      <c r="H30" s="33"/>
    </row>
    <row r="31" spans="1:8" ht="15">
      <c r="A31" s="4">
        <v>40325</v>
      </c>
      <c r="B31" t="s">
        <v>267</v>
      </c>
      <c r="C31" s="1">
        <v>4.68</v>
      </c>
      <c r="D31" s="38"/>
      <c r="E31" s="32" t="str">
        <f t="shared" si="1"/>
        <v/>
      </c>
      <c r="F31" s="40"/>
      <c r="G31" s="32"/>
      <c r="H31" s="33"/>
    </row>
    <row r="32" spans="1:8" ht="15">
      <c r="A32" s="4">
        <v>40326</v>
      </c>
      <c r="B32" t="s">
        <v>268</v>
      </c>
      <c r="C32" s="1">
        <v>31.21</v>
      </c>
      <c r="D32" s="38"/>
      <c r="E32" s="32" t="str">
        <f t="shared" si="1"/>
        <v/>
      </c>
      <c r="F32" s="40"/>
      <c r="G32" s="32"/>
      <c r="H32" s="33"/>
    </row>
    <row r="33" spans="1:8" ht="15">
      <c r="A33" s="4">
        <v>40326</v>
      </c>
      <c r="B33" t="s">
        <v>269</v>
      </c>
      <c r="C33" s="1">
        <v>42.38</v>
      </c>
      <c r="D33" s="38">
        <v>50000</v>
      </c>
      <c r="E33" s="32">
        <f t="shared" si="1"/>
        <v>1179.8017932987257</v>
      </c>
      <c r="F33" s="40"/>
      <c r="G33" s="32"/>
      <c r="H33" s="33"/>
    </row>
    <row r="34" spans="1:8" ht="15">
      <c r="A34" s="4">
        <v>40326</v>
      </c>
      <c r="B34" t="s">
        <v>270</v>
      </c>
      <c r="C34" s="1">
        <v>9.2</v>
      </c>
      <c r="D34" s="38"/>
      <c r="E34" s="32" t="str">
        <f t="shared" si="1"/>
        <v/>
      </c>
      <c r="F34" s="40"/>
      <c r="G34" s="32"/>
      <c r="H34" s="33"/>
    </row>
    <row r="35" spans="1:8" ht="15">
      <c r="A35" s="4">
        <v>40326</v>
      </c>
      <c r="B35" t="s">
        <v>271</v>
      </c>
      <c r="C35" s="1">
        <v>6.16</v>
      </c>
      <c r="D35" s="38"/>
      <c r="E35" s="32" t="str">
        <f t="shared" si="1"/>
        <v/>
      </c>
      <c r="F35" s="40"/>
      <c r="G35" s="32"/>
      <c r="H35" s="33"/>
    </row>
    <row r="36" spans="1:8" ht="15">
      <c r="A36" s="4">
        <v>40327</v>
      </c>
      <c r="B36" t="s">
        <v>272</v>
      </c>
      <c r="C36" s="1">
        <v>7.64</v>
      </c>
      <c r="D36" s="38"/>
      <c r="E36" s="32" t="str">
        <f t="shared" si="1"/>
        <v/>
      </c>
      <c r="F36" s="40"/>
      <c r="G36" s="32"/>
      <c r="H36" s="33"/>
    </row>
    <row r="37" spans="1:8" ht="15">
      <c r="A37" s="4">
        <v>40327</v>
      </c>
      <c r="B37" t="s">
        <v>271</v>
      </c>
      <c r="C37" s="1">
        <v>7.38</v>
      </c>
      <c r="D37" s="38"/>
      <c r="E37" s="32" t="str">
        <f t="shared" si="1"/>
        <v/>
      </c>
      <c r="F37" s="40"/>
      <c r="G37" s="32"/>
      <c r="H37" s="33"/>
    </row>
    <row r="38" spans="1:8" ht="15">
      <c r="A38" s="4">
        <v>40327</v>
      </c>
      <c r="B38" t="s">
        <v>255</v>
      </c>
      <c r="C38" s="1">
        <v>170.29</v>
      </c>
      <c r="D38" s="38">
        <v>200000</v>
      </c>
      <c r="E38" s="32">
        <f t="shared" si="1"/>
        <v>1174.4670855599272</v>
      </c>
      <c r="F38" s="40">
        <v>3000</v>
      </c>
      <c r="G38" s="32">
        <f t="shared" si="0"/>
        <v>1192.0840918433262</v>
      </c>
      <c r="H38" s="33">
        <f t="shared" si="2"/>
        <v>2.516600985221675</v>
      </c>
    </row>
    <row r="39" spans="1:8" ht="15">
      <c r="A39" s="4">
        <v>40329</v>
      </c>
      <c r="B39" t="s">
        <v>273</v>
      </c>
      <c r="C39" s="1">
        <f>587.2+251.66</f>
        <v>838.86</v>
      </c>
      <c r="D39" s="38">
        <v>1000000</v>
      </c>
      <c r="E39" s="32">
        <f t="shared" si="1"/>
        <v>1192.0940323772738</v>
      </c>
      <c r="F39" s="40"/>
      <c r="G39" s="32" t="str">
        <f t="shared" si="0"/>
        <v/>
      </c>
      <c r="H39" s="33" t="str">
        <f t="shared" si="2"/>
        <v/>
      </c>
    </row>
    <row r="40" spans="1:8" ht="15">
      <c r="A40" s="4">
        <v>40329</v>
      </c>
      <c r="B40" t="s">
        <v>275</v>
      </c>
      <c r="C40" s="1">
        <v>83.89</v>
      </c>
      <c r="D40" s="38">
        <v>100000</v>
      </c>
      <c r="E40" s="32">
        <f aca="true" t="shared" si="3" ref="E40:E87">IF(D40&lt;&gt;"",D40/C40,"")</f>
        <v>1192.0371915603766</v>
      </c>
      <c r="F40" s="40"/>
      <c r="G40" s="32" t="str">
        <f aca="true" t="shared" si="4" ref="G40:G60">IF(F40&lt;&gt;"",(E40*C40+F40)/C40,"")</f>
        <v/>
      </c>
      <c r="H40" s="33" t="str">
        <f aca="true" t="shared" si="5" ref="H40:H60">IF(G40&lt;&gt;"",F40/G40,"")</f>
        <v/>
      </c>
    </row>
    <row r="41" spans="1:8" ht="15">
      <c r="A41" s="4">
        <v>40329</v>
      </c>
      <c r="B41" t="s">
        <v>277</v>
      </c>
      <c r="C41" s="1">
        <v>15.1</v>
      </c>
      <c r="D41" s="38"/>
      <c r="E41" s="32"/>
      <c r="F41" s="40"/>
      <c r="G41" s="32"/>
      <c r="H41" s="33"/>
    </row>
    <row r="42" spans="1:8" ht="15">
      <c r="A42" s="4">
        <v>40329</v>
      </c>
      <c r="B42" t="s">
        <v>278</v>
      </c>
      <c r="C42" s="1">
        <v>11.74</v>
      </c>
      <c r="D42" s="38"/>
      <c r="E42" s="32"/>
      <c r="F42" s="40"/>
      <c r="G42" s="32"/>
      <c r="H42" s="33"/>
    </row>
    <row r="43" spans="1:8" ht="15">
      <c r="A43" s="4">
        <v>40330</v>
      </c>
      <c r="B43" t="s">
        <v>279</v>
      </c>
      <c r="C43" s="1">
        <v>23.15</v>
      </c>
      <c r="D43" s="38"/>
      <c r="E43" s="32"/>
      <c r="F43" s="40"/>
      <c r="G43" s="32"/>
      <c r="H43" s="33"/>
    </row>
    <row r="44" spans="1:8" ht="15">
      <c r="A44" s="4">
        <v>40330</v>
      </c>
      <c r="B44" t="s">
        <v>280</v>
      </c>
      <c r="C44" s="1">
        <v>10.07</v>
      </c>
      <c r="D44" s="38"/>
      <c r="E44" s="32"/>
      <c r="F44" s="40"/>
      <c r="G44" s="32"/>
      <c r="H44" s="33"/>
    </row>
    <row r="45" spans="1:8" ht="15">
      <c r="A45" s="4">
        <v>40330</v>
      </c>
      <c r="B45" t="s">
        <v>281</v>
      </c>
      <c r="C45" s="1">
        <v>6.71</v>
      </c>
      <c r="D45" s="38"/>
      <c r="E45" s="32"/>
      <c r="F45" s="40"/>
      <c r="G45" s="32"/>
      <c r="H45" s="33"/>
    </row>
    <row r="46" spans="1:8" ht="15">
      <c r="A46" s="4">
        <v>40330</v>
      </c>
      <c r="B46" t="s">
        <v>282</v>
      </c>
      <c r="C46" s="1">
        <v>11.74</v>
      </c>
      <c r="D46" s="38"/>
      <c r="E46" s="32"/>
      <c r="F46" s="40"/>
      <c r="G46" s="32"/>
      <c r="H46" s="33"/>
    </row>
    <row r="47" spans="1:8" ht="15">
      <c r="A47" s="4">
        <v>40330</v>
      </c>
      <c r="B47" t="s">
        <v>282</v>
      </c>
      <c r="C47" s="1">
        <v>6.29</v>
      </c>
      <c r="D47" s="38"/>
      <c r="E47" s="32"/>
      <c r="F47" s="40"/>
      <c r="G47" s="32"/>
      <c r="H47" s="33"/>
    </row>
    <row r="48" spans="1:8" ht="14.25" customHeight="1">
      <c r="A48" s="4">
        <v>40330</v>
      </c>
      <c r="B48" t="s">
        <v>273</v>
      </c>
      <c r="C48" s="13">
        <v>167.77</v>
      </c>
      <c r="D48" s="38">
        <v>200000</v>
      </c>
      <c r="E48" s="32">
        <f>IF(D48&lt;&gt;"",D48/C48,"")</f>
        <v>1192.1082434285033</v>
      </c>
      <c r="F48" s="40"/>
      <c r="G48" s="32" t="str">
        <f>IF(F48&lt;&gt;"",(E48*C48+F48)/C48,"")</f>
        <v/>
      </c>
      <c r="H48" s="33" t="str">
        <f>IF(G48&lt;&gt;"",F48/G48,"")</f>
        <v/>
      </c>
    </row>
    <row r="49" spans="1:8" ht="15">
      <c r="A49" s="4">
        <v>40331</v>
      </c>
      <c r="B49" t="s">
        <v>283</v>
      </c>
      <c r="C49" s="1">
        <v>9.58</v>
      </c>
      <c r="D49" s="38"/>
      <c r="E49" s="32"/>
      <c r="F49" s="40"/>
      <c r="G49" s="32"/>
      <c r="H49" s="33"/>
    </row>
    <row r="50" spans="1:8" ht="15">
      <c r="A50" s="4">
        <v>40331</v>
      </c>
      <c r="B50" t="s">
        <v>284</v>
      </c>
      <c r="C50" s="1">
        <v>15.42</v>
      </c>
      <c r="D50" s="38"/>
      <c r="E50" s="32"/>
      <c r="F50" s="40"/>
      <c r="G50" s="32"/>
      <c r="H50" s="33"/>
    </row>
    <row r="51" spans="1:8" ht="15">
      <c r="A51" s="4">
        <v>40332</v>
      </c>
      <c r="B51" t="s">
        <v>285</v>
      </c>
      <c r="C51" s="1">
        <v>11.12</v>
      </c>
      <c r="D51" s="38"/>
      <c r="E51" s="32"/>
      <c r="F51" s="40"/>
      <c r="G51" s="32"/>
      <c r="H51" s="33"/>
    </row>
    <row r="52" spans="1:8" ht="15">
      <c r="A52" s="4">
        <v>40332</v>
      </c>
      <c r="B52" t="s">
        <v>255</v>
      </c>
      <c r="C52" s="13">
        <v>330.87</v>
      </c>
      <c r="D52" s="38">
        <v>400000</v>
      </c>
      <c r="E52" s="32">
        <f t="shared" si="3"/>
        <v>1208.9340224257262</v>
      </c>
      <c r="F52" s="40">
        <v>3000</v>
      </c>
      <c r="G52" s="32">
        <f t="shared" si="4"/>
        <v>1218.0010275939192</v>
      </c>
      <c r="H52" s="33">
        <f t="shared" si="5"/>
        <v>2.4630521091811413</v>
      </c>
    </row>
    <row r="53" spans="1:8" ht="15">
      <c r="A53" s="4">
        <v>40332</v>
      </c>
      <c r="B53" t="s">
        <v>286</v>
      </c>
      <c r="C53" s="13">
        <v>8.21</v>
      </c>
      <c r="D53" s="38"/>
      <c r="E53" s="32"/>
      <c r="F53" s="40"/>
      <c r="G53" s="32"/>
      <c r="H53" s="33"/>
    </row>
    <row r="54" spans="1:8" ht="15">
      <c r="A54" s="4">
        <v>40332</v>
      </c>
      <c r="B54" t="s">
        <v>287</v>
      </c>
      <c r="C54" s="13">
        <v>9.03</v>
      </c>
      <c r="D54" s="38"/>
      <c r="E54" s="32"/>
      <c r="F54" s="40"/>
      <c r="G54" s="32"/>
      <c r="H54" s="33"/>
    </row>
    <row r="55" spans="1:8" ht="15">
      <c r="A55" s="4">
        <v>40333</v>
      </c>
      <c r="B55" t="s">
        <v>279</v>
      </c>
      <c r="C55" s="13">
        <v>54.52</v>
      </c>
      <c r="D55" s="38"/>
      <c r="E55" s="32"/>
      <c r="F55" s="40"/>
      <c r="G55" s="32"/>
      <c r="H55" s="33"/>
    </row>
    <row r="56" spans="1:8" ht="15">
      <c r="A56" s="4">
        <v>40333</v>
      </c>
      <c r="B56" t="s">
        <v>288</v>
      </c>
      <c r="C56" s="13">
        <v>14.17</v>
      </c>
      <c r="D56" s="38"/>
      <c r="E56" s="32"/>
      <c r="F56" s="40"/>
      <c r="G56" s="32"/>
      <c r="H56" s="33"/>
    </row>
    <row r="57" spans="1:8" ht="15">
      <c r="A57" s="4">
        <v>40333</v>
      </c>
      <c r="B57" t="s">
        <v>289</v>
      </c>
      <c r="C57" s="13">
        <v>45.96</v>
      </c>
      <c r="D57" s="38"/>
      <c r="E57" s="32"/>
      <c r="F57" s="40"/>
      <c r="G57" s="32"/>
      <c r="H57" s="33"/>
    </row>
    <row r="58" spans="1:8" ht="15">
      <c r="A58" s="4">
        <v>40333</v>
      </c>
      <c r="B58" t="s">
        <v>290</v>
      </c>
      <c r="C58" s="13">
        <v>17.51</v>
      </c>
      <c r="D58" s="38"/>
      <c r="E58" s="32"/>
      <c r="F58" s="40"/>
      <c r="G58" s="32"/>
      <c r="H58" s="33"/>
    </row>
    <row r="59" spans="1:8" ht="15">
      <c r="A59" s="4">
        <v>40333</v>
      </c>
      <c r="B59" t="s">
        <v>289</v>
      </c>
      <c r="C59" s="13">
        <v>10.03</v>
      </c>
      <c r="D59" s="38"/>
      <c r="E59" s="32"/>
      <c r="F59" s="40"/>
      <c r="G59" s="32"/>
      <c r="H59" s="33"/>
    </row>
    <row r="60" spans="1:8" ht="15">
      <c r="A60" s="4">
        <v>40334</v>
      </c>
      <c r="B60" t="s">
        <v>276</v>
      </c>
      <c r="C60" s="13">
        <v>83.54</v>
      </c>
      <c r="D60" s="38">
        <v>100000</v>
      </c>
      <c r="E60" s="32">
        <f t="shared" si="3"/>
        <v>1197.0313622216902</v>
      </c>
      <c r="F60" s="40"/>
      <c r="G60" s="32" t="str">
        <f t="shared" si="4"/>
        <v/>
      </c>
      <c r="H60" s="33" t="str">
        <f t="shared" si="5"/>
        <v/>
      </c>
    </row>
    <row r="61" spans="1:8" ht="15">
      <c r="A61" s="4">
        <v>40336</v>
      </c>
      <c r="B61" t="s">
        <v>293</v>
      </c>
      <c r="C61" s="13">
        <v>3.76</v>
      </c>
      <c r="D61" s="38"/>
      <c r="E61" s="32"/>
      <c r="F61" s="40"/>
      <c r="G61" s="34"/>
      <c r="H61" s="35"/>
    </row>
    <row r="62" spans="1:8" ht="15">
      <c r="A62" s="4">
        <v>40338</v>
      </c>
      <c r="B62" t="s">
        <v>294</v>
      </c>
      <c r="C62" s="13">
        <v>13.84</v>
      </c>
      <c r="D62" s="38"/>
      <c r="E62" s="32"/>
      <c r="F62" s="40"/>
      <c r="G62" s="34"/>
      <c r="H62" s="35"/>
    </row>
    <row r="63" spans="1:8" ht="15">
      <c r="A63" s="4">
        <v>40339</v>
      </c>
      <c r="B63" t="s">
        <v>295</v>
      </c>
      <c r="C63" s="13">
        <v>18.27</v>
      </c>
      <c r="D63" s="38"/>
      <c r="E63" s="32"/>
      <c r="F63" s="40"/>
      <c r="G63" s="34"/>
      <c r="H63" s="35"/>
    </row>
    <row r="64" spans="1:8" ht="15">
      <c r="A64" s="4">
        <v>40339</v>
      </c>
      <c r="B64" t="s">
        <v>296</v>
      </c>
      <c r="C64" s="13">
        <v>37.75</v>
      </c>
      <c r="D64" s="38">
        <f>15500*3</f>
        <v>46500</v>
      </c>
      <c r="E64" s="32">
        <f t="shared" si="3"/>
        <v>1231.7880794701987</v>
      </c>
      <c r="F64" s="40"/>
      <c r="G64" s="34"/>
      <c r="H64" s="35"/>
    </row>
    <row r="65" spans="1:8" ht="15">
      <c r="A65" s="4">
        <v>40339</v>
      </c>
      <c r="B65" t="s">
        <v>297</v>
      </c>
      <c r="C65" s="13">
        <v>19.08</v>
      </c>
      <c r="D65" s="38"/>
      <c r="E65" s="32"/>
      <c r="F65" s="40"/>
      <c r="G65" s="34"/>
      <c r="H65" s="35"/>
    </row>
    <row r="66" spans="1:8" ht="15">
      <c r="A66" s="4">
        <v>40340</v>
      </c>
      <c r="B66" t="s">
        <v>283</v>
      </c>
      <c r="C66" s="13">
        <v>14.37</v>
      </c>
      <c r="D66" s="38"/>
      <c r="E66" s="32"/>
      <c r="F66" s="40"/>
      <c r="G66" s="34"/>
      <c r="H66" s="35"/>
    </row>
    <row r="67" spans="1:8" ht="15">
      <c r="A67" s="4">
        <v>40340</v>
      </c>
      <c r="B67" t="s">
        <v>284</v>
      </c>
      <c r="C67" s="13">
        <v>11.25</v>
      </c>
      <c r="D67" s="38"/>
      <c r="E67" s="32"/>
      <c r="F67" s="40"/>
      <c r="G67" s="34"/>
      <c r="H67" s="35"/>
    </row>
    <row r="68" spans="1:8" ht="15">
      <c r="A68" s="4">
        <v>40340</v>
      </c>
      <c r="B68" t="s">
        <v>292</v>
      </c>
      <c r="C68" s="13">
        <v>80.26</v>
      </c>
      <c r="D68" s="38">
        <v>100000</v>
      </c>
      <c r="E68" s="32">
        <f t="shared" si="3"/>
        <v>1245.9506603538498</v>
      </c>
      <c r="F68" s="40"/>
      <c r="G68" s="34"/>
      <c r="H68" s="35"/>
    </row>
    <row r="69" spans="1:8" ht="15">
      <c r="A69" s="4">
        <v>40341</v>
      </c>
      <c r="B69" t="s">
        <v>289</v>
      </c>
      <c r="C69" s="13">
        <v>9.4</v>
      </c>
      <c r="D69" s="38"/>
      <c r="E69" s="32" t="str">
        <f t="shared" si="3"/>
        <v/>
      </c>
      <c r="F69" s="40"/>
      <c r="G69" s="34"/>
      <c r="H69" s="35"/>
    </row>
    <row r="70" spans="1:8" ht="15">
      <c r="A70" s="4">
        <v>40341</v>
      </c>
      <c r="B70" t="s">
        <v>289</v>
      </c>
      <c r="C70" s="13">
        <v>27.34</v>
      </c>
      <c r="D70" s="38"/>
      <c r="E70" s="32"/>
      <c r="F70" s="40"/>
      <c r="G70" s="34"/>
      <c r="H70" s="35"/>
    </row>
    <row r="71" spans="1:8" ht="15">
      <c r="A71" s="4">
        <v>40341</v>
      </c>
      <c r="B71" t="s">
        <v>279</v>
      </c>
      <c r="C71" s="13">
        <v>14.42</v>
      </c>
      <c r="D71" s="38"/>
      <c r="E71" s="32"/>
      <c r="F71" s="40"/>
      <c r="G71" s="34"/>
      <c r="H71" s="35"/>
    </row>
    <row r="72" spans="1:8" ht="15">
      <c r="A72" s="4">
        <v>40341</v>
      </c>
      <c r="B72" t="s">
        <v>289</v>
      </c>
      <c r="C72" s="13">
        <v>3.44</v>
      </c>
      <c r="D72" s="38"/>
      <c r="E72" s="32"/>
      <c r="F72" s="40"/>
      <c r="G72" s="34"/>
      <c r="H72" s="35"/>
    </row>
    <row r="73" spans="1:8" ht="15">
      <c r="A73" s="4">
        <v>40341</v>
      </c>
      <c r="B73" t="s">
        <v>284</v>
      </c>
      <c r="C73" s="13">
        <v>10.55</v>
      </c>
      <c r="D73" s="38"/>
      <c r="E73" s="32"/>
      <c r="F73" s="40"/>
      <c r="G73" s="34"/>
      <c r="H73" s="35"/>
    </row>
    <row r="74" spans="1:8" ht="15">
      <c r="A74" s="4">
        <v>40343</v>
      </c>
      <c r="B74" t="s">
        <v>289</v>
      </c>
      <c r="C74" s="13">
        <v>62.35</v>
      </c>
      <c r="D74" s="38"/>
      <c r="E74" s="32"/>
      <c r="F74" s="40"/>
      <c r="G74" s="34"/>
      <c r="H74" s="35"/>
    </row>
    <row r="75" spans="1:8" ht="15">
      <c r="A75" s="4">
        <v>40343</v>
      </c>
      <c r="B75" t="s">
        <v>289</v>
      </c>
      <c r="C75" s="13">
        <v>1.82</v>
      </c>
      <c r="D75" s="38"/>
      <c r="E75" s="32"/>
      <c r="F75" s="40"/>
      <c r="G75" s="34"/>
      <c r="H75" s="35"/>
    </row>
    <row r="76" spans="1:8" ht="15">
      <c r="A76" s="4">
        <v>40343</v>
      </c>
      <c r="B76" t="s">
        <v>299</v>
      </c>
      <c r="C76" s="13">
        <v>3.24</v>
      </c>
      <c r="D76" s="38"/>
      <c r="E76" s="32"/>
      <c r="F76" s="40"/>
      <c r="G76" s="34"/>
      <c r="H76" s="35"/>
    </row>
    <row r="77" spans="1:8" ht="15">
      <c r="A77" s="4">
        <v>40343</v>
      </c>
      <c r="B77" t="s">
        <v>300</v>
      </c>
      <c r="C77" s="13">
        <v>21.55</v>
      </c>
      <c r="D77" s="38"/>
      <c r="E77" s="32"/>
      <c r="F77" s="40"/>
      <c r="G77" s="34"/>
      <c r="H77" s="35"/>
    </row>
    <row r="78" spans="1:8" ht="15">
      <c r="A78" s="4">
        <v>40343</v>
      </c>
      <c r="B78" t="s">
        <v>301</v>
      </c>
      <c r="C78" s="13">
        <v>21.87</v>
      </c>
      <c r="D78" s="38"/>
      <c r="E78" s="32"/>
      <c r="F78" s="40"/>
      <c r="G78" s="34"/>
      <c r="H78" s="35"/>
    </row>
    <row r="79" spans="1:8" ht="15">
      <c r="A79" s="4">
        <v>40343</v>
      </c>
      <c r="B79" t="s">
        <v>302</v>
      </c>
      <c r="C79" s="13">
        <v>6.88</v>
      </c>
      <c r="D79" s="38"/>
      <c r="E79" s="32"/>
      <c r="F79" s="40"/>
      <c r="G79" s="34"/>
      <c r="H79" s="35"/>
    </row>
    <row r="80" spans="1:8" ht="15">
      <c r="A80" s="4">
        <v>40344</v>
      </c>
      <c r="B80" t="s">
        <v>289</v>
      </c>
      <c r="C80" s="13">
        <v>17.03</v>
      </c>
      <c r="D80" s="38"/>
      <c r="E80" s="32"/>
      <c r="F80" s="40"/>
      <c r="G80" s="34"/>
      <c r="H80" s="35"/>
    </row>
    <row r="81" spans="1:8" ht="15">
      <c r="A81" s="4">
        <v>40344</v>
      </c>
      <c r="B81" t="s">
        <v>289</v>
      </c>
      <c r="C81" s="13">
        <v>5.82</v>
      </c>
      <c r="D81" s="38"/>
      <c r="E81" s="32"/>
      <c r="F81" s="40"/>
      <c r="G81" s="34"/>
      <c r="H81" s="35"/>
    </row>
    <row r="82" spans="1:8" ht="15">
      <c r="A82" s="4">
        <v>40344</v>
      </c>
      <c r="B82" t="s">
        <v>303</v>
      </c>
      <c r="C82" s="13">
        <v>12.69</v>
      </c>
      <c r="D82" s="38"/>
      <c r="E82" s="32"/>
      <c r="F82" s="40"/>
      <c r="G82" s="34"/>
      <c r="H82" s="35"/>
    </row>
    <row r="83" spans="1:8" ht="15">
      <c r="A83" s="4">
        <v>40344</v>
      </c>
      <c r="B83" t="s">
        <v>304</v>
      </c>
      <c r="C83" s="13">
        <v>3.77</v>
      </c>
      <c r="D83" s="38"/>
      <c r="E83" s="32"/>
      <c r="F83" s="40"/>
      <c r="G83" s="34"/>
      <c r="H83" s="35"/>
    </row>
    <row r="84" spans="1:8" ht="15">
      <c r="A84" s="4">
        <v>40344</v>
      </c>
      <c r="B84" t="s">
        <v>305</v>
      </c>
      <c r="C84" s="13">
        <v>7.78</v>
      </c>
      <c r="D84" s="38"/>
      <c r="E84" s="32"/>
      <c r="F84" s="40"/>
      <c r="G84" s="34"/>
      <c r="H84" s="35"/>
    </row>
    <row r="85" spans="1:8" ht="15">
      <c r="A85" s="4">
        <v>40344</v>
      </c>
      <c r="B85" t="s">
        <v>264</v>
      </c>
      <c r="C85" s="13">
        <v>4.3</v>
      </c>
      <c r="D85" s="38"/>
      <c r="E85" s="32"/>
      <c r="F85" s="40"/>
      <c r="G85" s="34"/>
      <c r="H85" s="35"/>
    </row>
    <row r="86" spans="1:8" ht="15">
      <c r="A86" s="4">
        <v>40345</v>
      </c>
      <c r="B86" t="s">
        <v>278</v>
      </c>
      <c r="C86" s="13">
        <v>17.61</v>
      </c>
      <c r="D86" s="38"/>
      <c r="E86" s="32"/>
      <c r="F86" s="40"/>
      <c r="G86" s="34"/>
      <c r="H86" s="35"/>
    </row>
    <row r="87" spans="1:8" ht="15">
      <c r="A87" s="4">
        <v>40345</v>
      </c>
      <c r="B87" t="s">
        <v>298</v>
      </c>
      <c r="C87" s="13">
        <v>81.93</v>
      </c>
      <c r="D87" s="38">
        <v>100000</v>
      </c>
      <c r="E87" s="32">
        <f t="shared" si="3"/>
        <v>1220.5541315757353</v>
      </c>
      <c r="F87" s="40"/>
      <c r="G87" s="34"/>
      <c r="H87" s="35"/>
    </row>
    <row r="88" spans="1:8" ht="15">
      <c r="A88" s="4">
        <v>40345</v>
      </c>
      <c r="B88" t="s">
        <v>289</v>
      </c>
      <c r="C88" s="13">
        <v>6.69</v>
      </c>
      <c r="D88" s="38"/>
      <c r="E88" s="34"/>
      <c r="F88" s="40"/>
      <c r="G88" s="34"/>
      <c r="H88" s="35"/>
    </row>
    <row r="89" spans="1:8" ht="15">
      <c r="A89" s="4">
        <v>40345</v>
      </c>
      <c r="B89" t="s">
        <v>284</v>
      </c>
      <c r="C89" s="13">
        <v>2.46</v>
      </c>
      <c r="D89" s="38"/>
      <c r="E89" s="34"/>
      <c r="F89" s="40"/>
      <c r="G89" s="34"/>
      <c r="H89" s="35"/>
    </row>
    <row r="90" spans="1:8" ht="15">
      <c r="A90" s="4">
        <v>40346</v>
      </c>
      <c r="B90" t="s">
        <v>286</v>
      </c>
      <c r="C90" s="13">
        <v>21.05</v>
      </c>
      <c r="D90" s="38"/>
      <c r="E90" s="34"/>
      <c r="F90" s="40"/>
      <c r="G90" s="34"/>
      <c r="H90" s="35"/>
    </row>
    <row r="91" spans="1:8" ht="15">
      <c r="A91" s="4">
        <v>40346</v>
      </c>
      <c r="B91" t="s">
        <v>289</v>
      </c>
      <c r="C91" s="13">
        <v>3.71</v>
      </c>
      <c r="D91" s="38"/>
      <c r="E91" s="34"/>
      <c r="F91" s="40"/>
      <c r="G91" s="34"/>
      <c r="H91" s="35"/>
    </row>
    <row r="92" spans="1:8" ht="15">
      <c r="A92" s="4">
        <v>40346</v>
      </c>
      <c r="B92" t="s">
        <v>306</v>
      </c>
      <c r="C92" s="13">
        <v>15.74</v>
      </c>
      <c r="D92" s="38"/>
      <c r="E92" s="34"/>
      <c r="F92" s="40"/>
      <c r="G92" s="34"/>
      <c r="H92" s="35"/>
    </row>
    <row r="93" spans="1:8" ht="15">
      <c r="A93" s="4">
        <v>40347</v>
      </c>
      <c r="B93" t="s">
        <v>307</v>
      </c>
      <c r="C93" s="13">
        <v>15.68</v>
      </c>
      <c r="D93" s="38"/>
      <c r="E93" s="34"/>
      <c r="F93" s="40"/>
      <c r="G93" s="34"/>
      <c r="H93" s="35"/>
    </row>
    <row r="94" spans="1:8" ht="15">
      <c r="A94" s="4">
        <v>40348</v>
      </c>
      <c r="B94" t="s">
        <v>273</v>
      </c>
      <c r="C94" s="13">
        <v>83.19</v>
      </c>
      <c r="D94" s="38">
        <v>100000</v>
      </c>
      <c r="E94" s="32">
        <f aca="true" t="shared" si="6" ref="E94:E103">IF(D94&lt;&gt;"",D94/C94,"")</f>
        <v>1202.0675561966582</v>
      </c>
      <c r="F94" s="40"/>
      <c r="G94" s="34"/>
      <c r="H94" s="35"/>
    </row>
    <row r="95" spans="1:8" ht="15">
      <c r="A95" s="4">
        <v>40348</v>
      </c>
      <c r="B95" t="s">
        <v>289</v>
      </c>
      <c r="C95" s="13">
        <v>51.63</v>
      </c>
      <c r="D95" s="38"/>
      <c r="E95" s="32"/>
      <c r="F95" s="40"/>
      <c r="G95" s="34"/>
      <c r="H95" s="35"/>
    </row>
    <row r="96" spans="1:8" ht="15">
      <c r="A96" s="4">
        <v>40350</v>
      </c>
      <c r="B96" t="s">
        <v>311</v>
      </c>
      <c r="C96" s="13">
        <v>14.97</v>
      </c>
      <c r="D96" s="38"/>
      <c r="E96" s="32"/>
      <c r="F96" s="40"/>
      <c r="G96" s="34"/>
      <c r="H96" s="35"/>
    </row>
    <row r="97" spans="1:8" ht="15">
      <c r="A97" s="4">
        <v>40350</v>
      </c>
      <c r="B97" t="s">
        <v>312</v>
      </c>
      <c r="C97" s="13">
        <v>7.49</v>
      </c>
      <c r="D97" s="38"/>
      <c r="E97" s="32"/>
      <c r="F97" s="40"/>
      <c r="G97" s="34"/>
      <c r="H97" s="35"/>
    </row>
    <row r="98" spans="1:8" ht="15">
      <c r="A98" s="4">
        <v>40350</v>
      </c>
      <c r="B98" t="s">
        <v>311</v>
      </c>
      <c r="C98" s="13">
        <v>9.98</v>
      </c>
      <c r="D98" s="38"/>
      <c r="E98" s="32"/>
      <c r="F98" s="40"/>
      <c r="G98" s="34"/>
      <c r="H98" s="35"/>
    </row>
    <row r="99" spans="1:8" ht="15">
      <c r="A99" s="4">
        <v>40350</v>
      </c>
      <c r="B99" t="s">
        <v>305</v>
      </c>
      <c r="C99" s="13">
        <v>7.49</v>
      </c>
      <c r="D99" s="38"/>
      <c r="E99" s="32"/>
      <c r="F99" s="40"/>
      <c r="G99" s="34"/>
      <c r="H99" s="35"/>
    </row>
    <row r="100" spans="1:8" ht="15">
      <c r="A100" s="4">
        <v>40350</v>
      </c>
      <c r="B100" t="s">
        <v>313</v>
      </c>
      <c r="C100" s="13">
        <v>28.28</v>
      </c>
      <c r="D100" s="38"/>
      <c r="E100" s="32"/>
      <c r="F100" s="40"/>
      <c r="G100" s="34"/>
      <c r="H100" s="35"/>
    </row>
    <row r="101" spans="1:8" ht="15">
      <c r="A101" s="4">
        <v>40351</v>
      </c>
      <c r="B101" t="s">
        <v>289</v>
      </c>
      <c r="C101" s="13">
        <v>12.76</v>
      </c>
      <c r="D101" s="38"/>
      <c r="E101" s="32"/>
      <c r="F101" s="40"/>
      <c r="G101" s="34"/>
      <c r="H101" s="35"/>
    </row>
    <row r="102" spans="1:8" ht="15">
      <c r="A102" s="4">
        <v>40351</v>
      </c>
      <c r="B102" t="s">
        <v>289</v>
      </c>
      <c r="C102" s="13">
        <v>4.56</v>
      </c>
      <c r="D102" s="38"/>
      <c r="E102" s="32"/>
      <c r="F102" s="40"/>
      <c r="G102" s="34"/>
      <c r="H102" s="35"/>
    </row>
    <row r="103" spans="1:8" ht="15">
      <c r="A103" s="4">
        <v>40351</v>
      </c>
      <c r="B103" t="s">
        <v>273</v>
      </c>
      <c r="C103" s="13">
        <v>85.5</v>
      </c>
      <c r="D103" s="38">
        <v>100000</v>
      </c>
      <c r="E103" s="32">
        <f t="shared" si="6"/>
        <v>1169.5906432748538</v>
      </c>
      <c r="F103" s="40"/>
      <c r="G103" s="34"/>
      <c r="H103" s="35"/>
    </row>
    <row r="104" spans="1:8" ht="15">
      <c r="A104" s="4">
        <v>40351</v>
      </c>
      <c r="B104" t="s">
        <v>315</v>
      </c>
      <c r="C104" s="13">
        <v>7.69</v>
      </c>
      <c r="D104" s="38"/>
      <c r="E104" s="34"/>
      <c r="F104" s="40"/>
      <c r="G104" s="34"/>
      <c r="H104" s="35"/>
    </row>
    <row r="105" spans="1:8" ht="15">
      <c r="A105" s="4">
        <v>40351</v>
      </c>
      <c r="B105" t="s">
        <v>284</v>
      </c>
      <c r="C105" s="13">
        <v>3.85</v>
      </c>
      <c r="D105" s="38"/>
      <c r="E105" s="34"/>
      <c r="F105" s="40"/>
      <c r="G105" s="34"/>
      <c r="H105" s="35"/>
    </row>
    <row r="106" spans="1:8" ht="15">
      <c r="A106" s="4">
        <v>40352</v>
      </c>
      <c r="B106" t="s">
        <v>289</v>
      </c>
      <c r="C106" s="13">
        <v>10.98</v>
      </c>
      <c r="D106" s="38"/>
      <c r="E106" s="34"/>
      <c r="F106" s="40"/>
      <c r="G106" s="34"/>
      <c r="H106" s="35"/>
    </row>
    <row r="107" spans="1:8" ht="15">
      <c r="A107" s="4">
        <v>40352</v>
      </c>
      <c r="B107" t="s">
        <v>316</v>
      </c>
      <c r="C107" s="13">
        <v>7.24</v>
      </c>
      <c r="D107" s="38"/>
      <c r="E107" s="34"/>
      <c r="F107" s="40"/>
      <c r="G107" s="34"/>
      <c r="H107" s="35"/>
    </row>
    <row r="108" spans="1:8" ht="15">
      <c r="A108" s="4">
        <v>40353</v>
      </c>
      <c r="B108" t="s">
        <v>289</v>
      </c>
      <c r="C108" s="13">
        <v>11.64</v>
      </c>
      <c r="D108" s="38"/>
      <c r="E108" s="34"/>
      <c r="F108" s="40"/>
      <c r="G108" s="34"/>
      <c r="H108" s="35"/>
    </row>
    <row r="109" spans="1:8" ht="15">
      <c r="A109" s="4">
        <v>40353</v>
      </c>
      <c r="B109" t="s">
        <v>308</v>
      </c>
      <c r="C109" s="13">
        <v>3.38</v>
      </c>
      <c r="D109" s="38"/>
      <c r="E109" s="34"/>
      <c r="F109" s="40"/>
      <c r="G109" s="34"/>
      <c r="H109" s="35"/>
    </row>
    <row r="110" spans="1:8" ht="15">
      <c r="A110" s="4">
        <v>40354</v>
      </c>
      <c r="B110" t="s">
        <v>289</v>
      </c>
      <c r="C110" s="13">
        <v>11.34</v>
      </c>
      <c r="D110" s="38"/>
      <c r="E110" s="34"/>
      <c r="F110" s="40"/>
      <c r="G110" s="34"/>
      <c r="H110" s="35"/>
    </row>
    <row r="111" spans="1:8" ht="15">
      <c r="A111" s="4">
        <v>40354</v>
      </c>
      <c r="B111" t="s">
        <v>317</v>
      </c>
      <c r="C111" s="13">
        <v>13.27</v>
      </c>
      <c r="D111" s="38"/>
      <c r="E111" s="34"/>
      <c r="F111" s="40"/>
      <c r="G111" s="34"/>
      <c r="H111" s="35"/>
    </row>
    <row r="112" spans="1:8" ht="15">
      <c r="A112" s="4">
        <v>40355</v>
      </c>
      <c r="B112" t="s">
        <v>289</v>
      </c>
      <c r="C112" s="13">
        <v>7.88</v>
      </c>
      <c r="D112" s="38"/>
      <c r="E112" s="34"/>
      <c r="F112" s="40"/>
      <c r="G112" s="34"/>
      <c r="H112" s="35"/>
    </row>
    <row r="113" spans="1:8" ht="15">
      <c r="A113" s="4">
        <v>40357</v>
      </c>
      <c r="B113" t="s">
        <v>282</v>
      </c>
      <c r="C113" s="13">
        <v>7.95</v>
      </c>
      <c r="D113" s="38"/>
      <c r="E113" s="34"/>
      <c r="F113" s="40"/>
      <c r="G113" s="34"/>
      <c r="H113" s="35"/>
    </row>
    <row r="114" spans="1:8" ht="15">
      <c r="A114" s="4">
        <v>40357</v>
      </c>
      <c r="B114" t="s">
        <v>283</v>
      </c>
      <c r="C114" s="13">
        <v>10.13</v>
      </c>
      <c r="D114" s="38"/>
      <c r="E114" s="34"/>
      <c r="F114" s="40"/>
      <c r="G114" s="34"/>
      <c r="H114" s="35"/>
    </row>
    <row r="115" spans="1:8" ht="15">
      <c r="A115" s="4">
        <v>40358</v>
      </c>
      <c r="B115" t="s">
        <v>289</v>
      </c>
      <c r="C115" s="13">
        <v>25.72</v>
      </c>
      <c r="D115" s="38"/>
      <c r="E115" s="34"/>
      <c r="F115" s="40"/>
      <c r="G115" s="34"/>
      <c r="H115" s="35"/>
    </row>
    <row r="116" spans="1:8" ht="15">
      <c r="A116" s="4">
        <v>40358</v>
      </c>
      <c r="B116" t="s">
        <v>284</v>
      </c>
      <c r="C116" s="13">
        <v>5.01</v>
      </c>
      <c r="D116" s="38"/>
      <c r="E116" s="34"/>
      <c r="F116" s="40"/>
      <c r="G116" s="34"/>
      <c r="H116" s="35"/>
    </row>
    <row r="117" spans="1:8" ht="15">
      <c r="A117" s="4">
        <v>40358</v>
      </c>
      <c r="B117" t="s">
        <v>315</v>
      </c>
      <c r="C117" s="13">
        <v>7.52</v>
      </c>
      <c r="D117" s="38"/>
      <c r="E117" s="34"/>
      <c r="F117" s="40"/>
      <c r="G117" s="34"/>
      <c r="H117" s="35"/>
    </row>
    <row r="118" spans="1:8" ht="15">
      <c r="A118" s="4">
        <v>40358</v>
      </c>
      <c r="B118" t="s">
        <v>273</v>
      </c>
      <c r="C118" s="13">
        <v>334.1</v>
      </c>
      <c r="D118" s="38">
        <v>400000</v>
      </c>
      <c r="E118" s="32">
        <f aca="true" t="shared" si="7" ref="E118">IF(D118&lt;&gt;"",D118/C118,"")</f>
        <v>1197.2463334331037</v>
      </c>
      <c r="F118" s="40"/>
      <c r="G118" s="34"/>
      <c r="H118" s="35"/>
    </row>
    <row r="119" spans="1:8" ht="15">
      <c r="A119" s="4">
        <v>40360</v>
      </c>
      <c r="B119" t="s">
        <v>305</v>
      </c>
      <c r="C119" s="13">
        <v>7.38</v>
      </c>
      <c r="D119" s="38"/>
      <c r="E119" s="34"/>
      <c r="F119" s="40"/>
      <c r="G119" s="34"/>
      <c r="H119" s="35"/>
    </row>
    <row r="120" spans="1:8" ht="15">
      <c r="A120" s="4">
        <v>40360</v>
      </c>
      <c r="B120" t="s">
        <v>289</v>
      </c>
      <c r="C120" s="13">
        <v>10.05</v>
      </c>
      <c r="D120" s="38"/>
      <c r="E120" s="34"/>
      <c r="F120" s="40"/>
      <c r="G120" s="34"/>
      <c r="H120" s="35"/>
    </row>
    <row r="121" spans="1:8" ht="15">
      <c r="A121" s="4">
        <v>40361</v>
      </c>
      <c r="B121" t="s">
        <v>320</v>
      </c>
      <c r="C121" s="13">
        <v>8.99</v>
      </c>
      <c r="D121" s="38"/>
      <c r="E121" s="34"/>
      <c r="F121" s="40"/>
      <c r="G121" s="34"/>
      <c r="H121" s="35"/>
    </row>
    <row r="122" spans="1:8" ht="15">
      <c r="A122" s="4">
        <v>40362</v>
      </c>
      <c r="B122" t="s">
        <v>171</v>
      </c>
      <c r="C122" s="13">
        <v>6.17</v>
      </c>
      <c r="D122" s="38"/>
      <c r="E122" s="34"/>
      <c r="F122" s="40"/>
      <c r="G122" s="34"/>
      <c r="H122" s="35"/>
    </row>
    <row r="123" spans="1:8" ht="15">
      <c r="A123" s="4">
        <v>40362</v>
      </c>
      <c r="B123" t="s">
        <v>273</v>
      </c>
      <c r="C123" s="13">
        <v>82.21</v>
      </c>
      <c r="D123" s="38">
        <v>100000</v>
      </c>
      <c r="E123" s="32">
        <f aca="true" t="shared" si="8" ref="E123:E124">IF(D123&lt;&gt;"",D123/C123,"")</f>
        <v>1216.397031991242</v>
      </c>
      <c r="F123" s="40"/>
      <c r="G123" s="34"/>
      <c r="H123" s="35"/>
    </row>
    <row r="124" spans="1:8" ht="15">
      <c r="A124" s="4">
        <v>40364</v>
      </c>
      <c r="B124" t="s">
        <v>322</v>
      </c>
      <c r="C124" s="13">
        <v>6.58</v>
      </c>
      <c r="D124" s="38">
        <v>8000</v>
      </c>
      <c r="E124" s="32">
        <f t="shared" si="8"/>
        <v>1215.80547112462</v>
      </c>
      <c r="F124" s="40"/>
      <c r="G124" s="34"/>
      <c r="H124" s="35"/>
    </row>
    <row r="125" spans="1:8" ht="15">
      <c r="A125" s="4">
        <v>40364</v>
      </c>
      <c r="B125" t="s">
        <v>289</v>
      </c>
      <c r="C125" s="13">
        <v>6.13</v>
      </c>
      <c r="D125" s="38"/>
      <c r="E125" s="32"/>
      <c r="F125" s="40"/>
      <c r="G125" s="34"/>
      <c r="H125" s="35"/>
    </row>
    <row r="126" spans="1:8" ht="15">
      <c r="A126" s="4">
        <v>40366</v>
      </c>
      <c r="B126" t="s">
        <v>289</v>
      </c>
      <c r="C126" s="13">
        <v>7.36</v>
      </c>
      <c r="D126" s="38"/>
      <c r="E126" s="32"/>
      <c r="F126" s="40"/>
      <c r="G126" s="34"/>
      <c r="H126" s="35"/>
    </row>
    <row r="127" spans="1:8" ht="15">
      <c r="A127" s="4">
        <v>40366</v>
      </c>
      <c r="B127" t="s">
        <v>289</v>
      </c>
      <c r="C127" s="13">
        <v>25.03</v>
      </c>
      <c r="D127" s="38"/>
      <c r="E127" s="32"/>
      <c r="F127" s="40"/>
      <c r="G127" s="34"/>
      <c r="H127" s="35"/>
    </row>
    <row r="128" spans="1:8" ht="15">
      <c r="A128" s="4">
        <v>40366</v>
      </c>
      <c r="B128" t="s">
        <v>273</v>
      </c>
      <c r="C128" s="13">
        <v>81.83</v>
      </c>
      <c r="D128" s="38">
        <v>100000</v>
      </c>
      <c r="E128" s="32">
        <f>IF(D128&lt;&gt;"",D128/C128,"")</f>
        <v>1222.0457045093488</v>
      </c>
      <c r="F128" s="40"/>
      <c r="G128" s="34"/>
      <c r="H128" s="35"/>
    </row>
    <row r="129" spans="1:8" ht="15">
      <c r="A129" s="4">
        <v>40367</v>
      </c>
      <c r="B129" t="s">
        <v>289</v>
      </c>
      <c r="C129" s="13">
        <v>17.73</v>
      </c>
      <c r="D129" s="38"/>
      <c r="E129" s="32"/>
      <c r="F129" s="40"/>
      <c r="G129" s="34"/>
      <c r="H129" s="35"/>
    </row>
    <row r="130" spans="1:8" ht="15">
      <c r="A130" s="4"/>
      <c r="C130" s="13"/>
      <c r="D130" s="38"/>
      <c r="E130" s="34"/>
      <c r="F130" s="40"/>
      <c r="G130" s="34"/>
      <c r="H130" s="35"/>
    </row>
    <row r="131" spans="1:3" ht="15">
      <c r="A131" s="4"/>
      <c r="C131" s="3">
        <f>SUM(C2:C129)</f>
        <v>4858.800450450453</v>
      </c>
    </row>
    <row r="132" ht="15">
      <c r="A132" s="4"/>
    </row>
    <row r="133" ht="15">
      <c r="C133" s="13"/>
    </row>
    <row r="134" ht="15">
      <c r="C134" s="13"/>
    </row>
    <row r="135" spans="1:3" ht="15">
      <c r="A135" s="4"/>
      <c r="C135" s="13"/>
    </row>
    <row r="136" spans="1:3" ht="15">
      <c r="A136" s="4"/>
      <c r="C136" s="13"/>
    </row>
    <row r="137" spans="1:3" ht="15">
      <c r="A137" s="4"/>
      <c r="C137" s="13"/>
    </row>
    <row r="138" spans="1:3" ht="15">
      <c r="A138" s="4"/>
      <c r="C138" s="13"/>
    </row>
    <row r="139" spans="1:3" ht="15">
      <c r="A139" s="4"/>
      <c r="C139" s="13"/>
    </row>
    <row r="140" spans="1:3" ht="15">
      <c r="A140" s="4"/>
      <c r="C140" s="13"/>
    </row>
    <row r="141" spans="1:3" ht="15">
      <c r="A141" s="4"/>
      <c r="C141" s="13"/>
    </row>
    <row r="142" spans="1:3" ht="15">
      <c r="A142" s="4"/>
      <c r="C142" s="13"/>
    </row>
    <row r="143" spans="1:3" ht="15">
      <c r="A143" s="4"/>
      <c r="C143" s="13"/>
    </row>
    <row r="144" spans="1:3" ht="15">
      <c r="A144" s="4"/>
      <c r="C144" s="13"/>
    </row>
    <row r="145" spans="1:3" ht="15">
      <c r="A145" s="4"/>
      <c r="C145" s="13"/>
    </row>
    <row r="146" spans="1:3" ht="15">
      <c r="A146" s="4"/>
      <c r="C146" s="13"/>
    </row>
    <row r="147" spans="1:3" ht="15">
      <c r="A147" s="4"/>
      <c r="C147" s="13"/>
    </row>
    <row r="148" spans="1:3" ht="15">
      <c r="A148" s="4"/>
      <c r="C148" s="13"/>
    </row>
    <row r="149" spans="1:3" ht="15">
      <c r="A149" s="4"/>
      <c r="C149" s="13"/>
    </row>
    <row r="150" spans="1:3" ht="15">
      <c r="A150" s="4"/>
      <c r="C150" s="13"/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N76"/>
  <sheetViews>
    <sheetView tabSelected="1" workbookViewId="0" topLeftCell="A1">
      <selection activeCell="G1" sqref="G1"/>
    </sheetView>
  </sheetViews>
  <sheetFormatPr defaultColWidth="9.140625" defaultRowHeight="15"/>
  <cols>
    <col min="1" max="1" width="1.57421875" style="41" customWidth="1"/>
    <col min="2" max="2" width="22.140625" style="41" bestFit="1" customWidth="1"/>
    <col min="3" max="3" width="10.57421875" style="41" bestFit="1" customWidth="1"/>
    <col min="4" max="4" width="12.00390625" style="41" bestFit="1" customWidth="1"/>
    <col min="5" max="5" width="9.140625" style="41" hidden="1" customWidth="1"/>
    <col min="6" max="6" width="2.8515625" style="41" customWidth="1"/>
    <col min="7" max="7" width="17.421875" style="41" bestFit="1" customWidth="1"/>
    <col min="8" max="8" width="12.8515625" style="41" bestFit="1" customWidth="1"/>
    <col min="9" max="9" width="5.7109375" style="41" customWidth="1"/>
    <col min="10" max="10" width="12.00390625" style="41" bestFit="1" customWidth="1"/>
    <col min="11" max="11" width="4.57421875" style="41" bestFit="1" customWidth="1"/>
    <col min="12" max="12" width="24.7109375" style="41" bestFit="1" customWidth="1"/>
    <col min="13" max="13" width="9.8515625" style="41" customWidth="1"/>
    <col min="14" max="14" width="4.57421875" style="41" bestFit="1" customWidth="1"/>
    <col min="15" max="16384" width="9.140625" style="41" customWidth="1"/>
  </cols>
  <sheetData>
    <row r="1" ht="9.75" customHeight="1"/>
    <row r="2" spans="2:14" ht="15">
      <c r="B2" s="42" t="s">
        <v>45</v>
      </c>
      <c r="C2" s="42" t="s">
        <v>31</v>
      </c>
      <c r="D2" s="42" t="s">
        <v>43</v>
      </c>
      <c r="E2" s="41">
        <v>365</v>
      </c>
      <c r="G2" s="42" t="s">
        <v>179</v>
      </c>
      <c r="H2" s="42" t="s">
        <v>46</v>
      </c>
      <c r="I2" s="42" t="s">
        <v>47</v>
      </c>
      <c r="J2" s="42" t="s">
        <v>43</v>
      </c>
      <c r="L2" s="43" t="s">
        <v>185</v>
      </c>
      <c r="M2" s="79">
        <v>50000</v>
      </c>
      <c r="N2" s="82" t="s">
        <v>69</v>
      </c>
    </row>
    <row r="3" spans="2:14" ht="15">
      <c r="B3" s="43" t="s">
        <v>0</v>
      </c>
      <c r="C3" s="44">
        <v>50000</v>
      </c>
      <c r="D3" s="45">
        <f aca="true" t="shared" si="0" ref="D3:D9">C3/$E$2</f>
        <v>136.986301369863</v>
      </c>
      <c r="E3" s="46"/>
      <c r="F3" s="46"/>
      <c r="G3" s="43" t="s">
        <v>41</v>
      </c>
      <c r="H3" s="47">
        <f>(Vancouver!D6)*-1</f>
        <v>-747.7300000000001</v>
      </c>
      <c r="I3" s="43">
        <f>Vancouver!D5</f>
        <v>6</v>
      </c>
      <c r="J3" s="48">
        <f>Vancouver!D7</f>
        <v>124.62166666666668</v>
      </c>
      <c r="L3" s="43" t="s">
        <v>184</v>
      </c>
      <c r="M3" s="79">
        <f>C8+H13+D37</f>
        <v>-27609.473426329558</v>
      </c>
      <c r="N3" s="81">
        <f>-M3/M2</f>
        <v>0.5521894685265911</v>
      </c>
    </row>
    <row r="4" spans="2:14" ht="15">
      <c r="B4" s="43" t="s">
        <v>1</v>
      </c>
      <c r="C4" s="44">
        <v>-600</v>
      </c>
      <c r="D4" s="45">
        <f t="shared" si="0"/>
        <v>-1.643835616438356</v>
      </c>
      <c r="E4" s="46"/>
      <c r="F4" s="46"/>
      <c r="G4" s="43" t="s">
        <v>42</v>
      </c>
      <c r="H4" s="47">
        <f>('HK-Macau'!E5)*-1</f>
        <v>-1070.5761290322578</v>
      </c>
      <c r="I4" s="43">
        <f>'HK-Macau'!E4</f>
        <v>9</v>
      </c>
      <c r="J4" s="48">
        <f>'HK-Macau'!E6</f>
        <v>118.95290322580642</v>
      </c>
      <c r="L4" s="43" t="s">
        <v>130</v>
      </c>
      <c r="M4" s="79">
        <f>D47</f>
        <v>2696.2400000000002</v>
      </c>
      <c r="N4" s="43"/>
    </row>
    <row r="5" spans="2:14" ht="15">
      <c r="B5" s="43" t="s">
        <v>2</v>
      </c>
      <c r="C5" s="44">
        <f>-1495.92-756.2</f>
        <v>-2252.12</v>
      </c>
      <c r="D5" s="45">
        <f t="shared" si="0"/>
        <v>-6.170191780821917</v>
      </c>
      <c r="E5" s="46"/>
      <c r="F5" s="46"/>
      <c r="G5" s="43" t="s">
        <v>186</v>
      </c>
      <c r="H5" s="47">
        <f>-'M China'!$E$5</f>
        <v>-2277.7200000000003</v>
      </c>
      <c r="I5" s="43">
        <f>'M China'!$E$4</f>
        <v>30</v>
      </c>
      <c r="J5" s="48">
        <f>'M China'!$E$6</f>
        <v>75.924</v>
      </c>
      <c r="L5" s="43" t="s">
        <v>310</v>
      </c>
      <c r="M5" s="79">
        <f>M3+M4</f>
        <v>-24913.233426329556</v>
      </c>
      <c r="N5" s="43"/>
    </row>
    <row r="6" spans="2:14" ht="15">
      <c r="B6" s="43" t="s">
        <v>3</v>
      </c>
      <c r="C6" s="44">
        <v>-260</v>
      </c>
      <c r="D6" s="45">
        <f t="shared" si="0"/>
        <v>-0.7123287671232876</v>
      </c>
      <c r="E6" s="46"/>
      <c r="F6" s="46"/>
      <c r="G6" s="43" t="s">
        <v>90</v>
      </c>
      <c r="H6" s="47">
        <f>-Vietnam!$J$6</f>
        <v>-1825.0500000000002</v>
      </c>
      <c r="I6" s="43">
        <f>Vietnam!$J$5</f>
        <v>39</v>
      </c>
      <c r="J6" s="48">
        <f>Vietnam!$J$7</f>
        <v>46.79615384615385</v>
      </c>
      <c r="L6" s="90" t="s">
        <v>188</v>
      </c>
      <c r="M6" s="91">
        <f>H14+M4</f>
        <v>25086.76657367044</v>
      </c>
      <c r="N6" s="92">
        <f>1-M6/M2</f>
        <v>0.49826466852659124</v>
      </c>
    </row>
    <row r="7" spans="2:14" ht="15.75" thickBot="1">
      <c r="B7" s="49" t="s">
        <v>4</v>
      </c>
      <c r="C7" s="50">
        <f>(518*2)*-1</f>
        <v>-1036</v>
      </c>
      <c r="D7" s="51">
        <f t="shared" si="0"/>
        <v>-2.8383561643835615</v>
      </c>
      <c r="E7" s="46"/>
      <c r="F7" s="46"/>
      <c r="G7" s="43" t="s">
        <v>116</v>
      </c>
      <c r="H7" s="47">
        <f>-Cambodia!$E$5</f>
        <v>-862.5</v>
      </c>
      <c r="I7" s="43">
        <f>Cambodia!$E$4</f>
        <v>17</v>
      </c>
      <c r="J7" s="48">
        <f>Cambodia!$E$6</f>
        <v>50.73529411764706</v>
      </c>
      <c r="L7" s="43" t="s">
        <v>50</v>
      </c>
      <c r="M7" s="80">
        <f>I13</f>
        <v>266</v>
      </c>
      <c r="N7" s="81">
        <f>M7/365</f>
        <v>0.7287671232876712</v>
      </c>
    </row>
    <row r="8" spans="2:14" ht="15.75" thickTop="1">
      <c r="B8" s="52" t="s">
        <v>49</v>
      </c>
      <c r="C8" s="53">
        <f>SUM(C4:C7)</f>
        <v>-4148.12</v>
      </c>
      <c r="D8" s="54">
        <f t="shared" si="0"/>
        <v>-11.364712328767123</v>
      </c>
      <c r="G8" s="43" t="s">
        <v>135</v>
      </c>
      <c r="H8" s="47">
        <f>-Thailand!$J$5</f>
        <v>-805.2884848484849</v>
      </c>
      <c r="I8" s="43">
        <f>Thailand!$J$4</f>
        <v>12</v>
      </c>
      <c r="J8" s="48">
        <f>Thailand!$J$6</f>
        <v>67.10737373737375</v>
      </c>
      <c r="L8" s="43" t="s">
        <v>48</v>
      </c>
      <c r="M8" s="80">
        <f>I14</f>
        <v>99</v>
      </c>
      <c r="N8" s="43"/>
    </row>
    <row r="9" spans="2:10" ht="15" customHeight="1">
      <c r="B9" s="42" t="s">
        <v>44</v>
      </c>
      <c r="C9" s="47">
        <f>C3+SUM(C4:C7)</f>
        <v>45851.88</v>
      </c>
      <c r="D9" s="45">
        <f t="shared" si="0"/>
        <v>125.62158904109589</v>
      </c>
      <c r="E9" s="46"/>
      <c r="F9" s="46"/>
      <c r="G9" s="43" t="s">
        <v>187</v>
      </c>
      <c r="H9" s="47">
        <f>-'M China (2)'!G5</f>
        <v>-1131.1515151515152</v>
      </c>
      <c r="I9" s="43">
        <f>'M China (2)'!G4</f>
        <v>14</v>
      </c>
      <c r="J9" s="48">
        <f>'M China (2)'!G6</f>
        <v>80.7965367965368</v>
      </c>
    </row>
    <row r="10" spans="7:13" ht="15.75" thickBot="1">
      <c r="G10" s="43" t="s">
        <v>157</v>
      </c>
      <c r="H10" s="47">
        <f>-'South Korea'!J5</f>
        <v>-5273.513835263834</v>
      </c>
      <c r="I10" s="43">
        <f>'South Korea'!J4</f>
        <v>75</v>
      </c>
      <c r="J10" s="48">
        <f>'South Korea'!J6</f>
        <v>70.31351780351778</v>
      </c>
      <c r="L10" s="43" t="s">
        <v>51</v>
      </c>
      <c r="M10" s="45">
        <f>Budgeting!C8</f>
        <v>100.49727123287673</v>
      </c>
    </row>
    <row r="11" spans="2:13" ht="15">
      <c r="B11" s="58" t="s">
        <v>114</v>
      </c>
      <c r="C11" s="59" t="s">
        <v>39</v>
      </c>
      <c r="D11" s="60" t="s">
        <v>31</v>
      </c>
      <c r="G11" s="43" t="s">
        <v>219</v>
      </c>
      <c r="H11" s="47">
        <f>-Japan!G5</f>
        <v>-1816.653011583012</v>
      </c>
      <c r="I11" s="43">
        <f>Japan!G4</f>
        <v>7</v>
      </c>
      <c r="J11" s="48">
        <f>Japan!G6</f>
        <v>259.52185879757315</v>
      </c>
      <c r="L11" s="84" t="s">
        <v>52</v>
      </c>
      <c r="M11" s="85">
        <f>J13-D8</f>
        <v>85.914048517976</v>
      </c>
    </row>
    <row r="12" spans="2:13" ht="15.75" thickBot="1">
      <c r="B12" s="64" t="s">
        <v>235</v>
      </c>
      <c r="C12" s="65" t="s">
        <v>234</v>
      </c>
      <c r="D12" s="66">
        <f>-174.75-137.4-40.07</f>
        <v>-352.21999999999997</v>
      </c>
      <c r="E12" s="46"/>
      <c r="F12" s="46"/>
      <c r="G12" s="49" t="s">
        <v>252</v>
      </c>
      <c r="H12" s="55">
        <f>-'South Korea (2)'!J5</f>
        <v>-4019.940450450453</v>
      </c>
      <c r="I12" s="49">
        <f>'South Korea (2)'!J4</f>
        <v>57</v>
      </c>
      <c r="J12" s="56">
        <f>'South Korea (2)'!J6</f>
        <v>70.52527106053427</v>
      </c>
      <c r="L12" s="43" t="s">
        <v>253</v>
      </c>
      <c r="M12" s="86">
        <f>J13-D8-D38</f>
        <v>99.56528911947976</v>
      </c>
    </row>
    <row r="13" spans="2:13" ht="15.75" thickTop="1">
      <c r="B13" s="64" t="s">
        <v>115</v>
      </c>
      <c r="C13" s="65">
        <v>40177</v>
      </c>
      <c r="D13" s="66">
        <v>-50</v>
      </c>
      <c r="E13" s="46"/>
      <c r="F13" s="46"/>
      <c r="G13" s="78" t="s">
        <v>31</v>
      </c>
      <c r="H13" s="62">
        <f>SUM(H3:H12)</f>
        <v>-19830.12342632956</v>
      </c>
      <c r="I13" s="61">
        <f>SUM(I3:I12)</f>
        <v>266</v>
      </c>
      <c r="J13" s="63">
        <f>-H13/I13</f>
        <v>74.54933618920887</v>
      </c>
      <c r="L13" s="86" t="s">
        <v>254</v>
      </c>
      <c r="M13" s="86">
        <f>M12-M4/I13</f>
        <v>89.429048517976</v>
      </c>
    </row>
    <row r="14" spans="2:10" ht="15">
      <c r="B14" s="64" t="s">
        <v>124</v>
      </c>
      <c r="C14" s="65">
        <v>40190</v>
      </c>
      <c r="D14" s="66">
        <v>-161.85</v>
      </c>
      <c r="E14" s="46"/>
      <c r="F14" s="46"/>
      <c r="G14" s="42" t="s">
        <v>40</v>
      </c>
      <c r="H14" s="47">
        <f>C9+H13+D37</f>
        <v>22390.52657367044</v>
      </c>
      <c r="I14" s="43">
        <f>365-I13</f>
        <v>99</v>
      </c>
      <c r="J14" s="45">
        <f>H14/I14</f>
        <v>226.16693508758019</v>
      </c>
    </row>
    <row r="15" spans="2:4" ht="15">
      <c r="B15" s="64" t="s">
        <v>150</v>
      </c>
      <c r="C15" s="65">
        <v>40199</v>
      </c>
      <c r="D15" s="66">
        <v>-168.29</v>
      </c>
    </row>
    <row r="16" spans="2:11" ht="15">
      <c r="B16" s="64" t="s">
        <v>155</v>
      </c>
      <c r="C16" s="65">
        <v>40206</v>
      </c>
      <c r="D16" s="66">
        <v>-25</v>
      </c>
      <c r="G16" s="41" t="s">
        <v>324</v>
      </c>
      <c r="J16" s="53">
        <f>H13-(I14*J13)+C8+D38*365+M4</f>
        <v>-33645.09052861011</v>
      </c>
      <c r="K16" s="89">
        <f>-J16/M2</f>
        <v>0.6729018105722022</v>
      </c>
    </row>
    <row r="17" spans="2:10" ht="15">
      <c r="B17" s="64" t="s">
        <v>129</v>
      </c>
      <c r="C17" s="65">
        <v>40211</v>
      </c>
      <c r="D17" s="66">
        <v>-879.32</v>
      </c>
      <c r="G17" s="41" t="s">
        <v>325</v>
      </c>
      <c r="J17" s="53">
        <f>M2+J16</f>
        <v>16354.909471389888</v>
      </c>
    </row>
    <row r="18" spans="2:4" ht="15">
      <c r="B18" s="64" t="s">
        <v>108</v>
      </c>
      <c r="C18" s="65">
        <v>40204</v>
      </c>
      <c r="D18" s="66">
        <v>-2.95</v>
      </c>
    </row>
    <row r="19" spans="2:4" ht="15">
      <c r="B19" s="67" t="s">
        <v>108</v>
      </c>
      <c r="C19" s="68">
        <v>40231</v>
      </c>
      <c r="D19" s="69">
        <f>-10-2.95-2.95-2.95-2.95-2.95</f>
        <v>-24.749999999999996</v>
      </c>
    </row>
    <row r="20" spans="2:4" ht="15">
      <c r="B20" s="67" t="s">
        <v>150</v>
      </c>
      <c r="C20" s="68">
        <v>40231</v>
      </c>
      <c r="D20" s="69">
        <v>-168.29</v>
      </c>
    </row>
    <row r="21" spans="2:4" ht="15">
      <c r="B21" s="67" t="s">
        <v>150</v>
      </c>
      <c r="C21" s="68">
        <v>40259</v>
      </c>
      <c r="D21" s="69">
        <v>-168.29</v>
      </c>
    </row>
    <row r="22" spans="2:4" ht="15">
      <c r="B22" s="67" t="s">
        <v>150</v>
      </c>
      <c r="C22" s="68">
        <v>40259</v>
      </c>
      <c r="D22" s="69">
        <v>-168.29</v>
      </c>
    </row>
    <row r="23" spans="2:4" ht="15">
      <c r="B23" s="67" t="s">
        <v>150</v>
      </c>
      <c r="C23" s="68">
        <v>40275</v>
      </c>
      <c r="D23" s="69">
        <v>-118.29</v>
      </c>
    </row>
    <row r="24" spans="2:4" ht="15">
      <c r="B24" s="67" t="s">
        <v>150</v>
      </c>
      <c r="C24" s="68">
        <v>40289</v>
      </c>
      <c r="D24" s="69">
        <f>-168.29-168.29</f>
        <v>-336.58</v>
      </c>
    </row>
    <row r="25" spans="2:4" ht="15">
      <c r="B25" s="67" t="s">
        <v>232</v>
      </c>
      <c r="C25" s="68">
        <v>40289</v>
      </c>
      <c r="D25" s="69">
        <v>-25</v>
      </c>
    </row>
    <row r="26" spans="2:4" ht="15">
      <c r="B26" s="67" t="s">
        <v>233</v>
      </c>
      <c r="C26" s="68" t="s">
        <v>234</v>
      </c>
      <c r="D26" s="69">
        <f>-4.08*12</f>
        <v>-48.96</v>
      </c>
    </row>
    <row r="27" spans="2:4" ht="15">
      <c r="B27" s="67" t="s">
        <v>231</v>
      </c>
      <c r="C27" s="68">
        <v>40285</v>
      </c>
      <c r="D27" s="69">
        <v>-22.97</v>
      </c>
    </row>
    <row r="28" spans="2:4" ht="15">
      <c r="B28" s="67" t="s">
        <v>230</v>
      </c>
      <c r="C28" s="68">
        <v>40290</v>
      </c>
      <c r="D28" s="69">
        <v>-10</v>
      </c>
    </row>
    <row r="29" spans="2:4" ht="15">
      <c r="B29" s="67" t="s">
        <v>249</v>
      </c>
      <c r="C29" s="68">
        <v>40309</v>
      </c>
      <c r="D29" s="69">
        <v>-25</v>
      </c>
    </row>
    <row r="30" spans="2:4" ht="15">
      <c r="B30" s="67" t="s">
        <v>259</v>
      </c>
      <c r="C30" s="68">
        <v>40320</v>
      </c>
      <c r="D30" s="69">
        <v>-10.87</v>
      </c>
    </row>
    <row r="31" spans="2:4" ht="15">
      <c r="B31" s="67" t="s">
        <v>291</v>
      </c>
      <c r="C31" s="68">
        <v>40328</v>
      </c>
      <c r="D31" s="69">
        <v>-3.99</v>
      </c>
    </row>
    <row r="32" spans="2:4" ht="15">
      <c r="B32" s="67" t="s">
        <v>314</v>
      </c>
      <c r="C32" s="68">
        <v>40351</v>
      </c>
      <c r="D32" s="69">
        <v>-70.26</v>
      </c>
    </row>
    <row r="33" spans="2:4" ht="15">
      <c r="B33" s="67" t="s">
        <v>318</v>
      </c>
      <c r="C33" s="68">
        <v>40352</v>
      </c>
      <c r="D33" s="69">
        <v>-230.78</v>
      </c>
    </row>
    <row r="34" spans="2:4" ht="15">
      <c r="B34" s="67" t="s">
        <v>319</v>
      </c>
      <c r="C34" s="68">
        <v>40353</v>
      </c>
      <c r="D34" s="69">
        <v>-509.28</v>
      </c>
    </row>
    <row r="35" spans="2:4" ht="15">
      <c r="B35" s="67" t="s">
        <v>321</v>
      </c>
      <c r="C35" s="68">
        <v>40360</v>
      </c>
      <c r="D35" s="69">
        <v>-25</v>
      </c>
    </row>
    <row r="36" spans="2:4" ht="15.75" thickBot="1">
      <c r="B36" s="70" t="s">
        <v>323</v>
      </c>
      <c r="C36" s="71">
        <v>40367</v>
      </c>
      <c r="D36" s="72">
        <v>-25</v>
      </c>
    </row>
    <row r="37" spans="2:4" ht="16.5" customHeight="1" thickBot="1" thickTop="1">
      <c r="B37" s="73" t="s">
        <v>119</v>
      </c>
      <c r="C37" s="87"/>
      <c r="D37" s="88">
        <f>SUM(D12:D36)</f>
        <v>-3631.2299999999996</v>
      </c>
    </row>
    <row r="38" ht="15.75" thickBot="1">
      <c r="D38" s="57">
        <f>D37/I13</f>
        <v>-13.651240601503758</v>
      </c>
    </row>
    <row r="39" spans="2:4" ht="15">
      <c r="B39" s="58" t="s">
        <v>130</v>
      </c>
      <c r="C39" s="59" t="s">
        <v>39</v>
      </c>
      <c r="D39" s="60" t="s">
        <v>31</v>
      </c>
    </row>
    <row r="40" spans="2:4" ht="15">
      <c r="B40" s="64" t="s">
        <v>131</v>
      </c>
      <c r="C40" s="65">
        <v>40206</v>
      </c>
      <c r="D40" s="66">
        <v>225.9</v>
      </c>
    </row>
    <row r="41" spans="2:4" ht="15">
      <c r="B41" s="64" t="s">
        <v>133</v>
      </c>
      <c r="C41" s="65">
        <v>40207</v>
      </c>
      <c r="D41" s="66">
        <f>21.81+2.83</f>
        <v>24.64</v>
      </c>
    </row>
    <row r="42" spans="2:4" ht="15">
      <c r="B42" s="64" t="s">
        <v>131</v>
      </c>
      <c r="C42" s="65">
        <v>40233</v>
      </c>
      <c r="D42" s="66">
        <v>14.04</v>
      </c>
    </row>
    <row r="43" spans="2:4" ht="15">
      <c r="B43" s="64" t="s">
        <v>133</v>
      </c>
      <c r="C43" s="65">
        <v>40235</v>
      </c>
      <c r="D43" s="66">
        <f>1.67+9.1</f>
        <v>10.77</v>
      </c>
    </row>
    <row r="44" spans="2:4" ht="15">
      <c r="B44" s="64" t="s">
        <v>178</v>
      </c>
      <c r="C44" s="65">
        <v>40242</v>
      </c>
      <c r="D44" s="66">
        <v>2297</v>
      </c>
    </row>
    <row r="45" spans="2:4" ht="15">
      <c r="B45" s="64" t="s">
        <v>133</v>
      </c>
      <c r="C45" s="65">
        <v>40269</v>
      </c>
      <c r="D45" s="66">
        <f>20+2.15+0.8+1.7+1.75+1.69</f>
        <v>28.09</v>
      </c>
    </row>
    <row r="46" spans="2:4" ht="15.75" thickBot="1">
      <c r="B46" s="70" t="s">
        <v>309</v>
      </c>
      <c r="C46" s="71">
        <v>40352</v>
      </c>
      <c r="D46" s="72">
        <v>95.8</v>
      </c>
    </row>
    <row r="47" spans="2:4" ht="16.5" thickBot="1" thickTop="1">
      <c r="B47" s="73" t="s">
        <v>132</v>
      </c>
      <c r="C47" s="74"/>
      <c r="D47" s="75">
        <f>SUM(D40:D46)</f>
        <v>2696.2400000000002</v>
      </c>
    </row>
    <row r="76" spans="2:4" ht="15">
      <c r="B76" s="76"/>
      <c r="C76" s="77"/>
      <c r="D76" s="77"/>
    </row>
  </sheetData>
  <printOptions/>
  <pageMargins left="0.7" right="0.7" top="0.75" bottom="0.75" header="0.3" footer="0.3"/>
  <pageSetup horizontalDpi="200" verticalDpi="2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1"/>
  </sheetViews>
  <sheetFormatPr defaultColWidth="9.140625" defaultRowHeight="15"/>
  <cols>
    <col min="1" max="1" width="46.7109375" style="0" bestFit="1" customWidth="1"/>
    <col min="4" max="4" width="9.00390625" style="0" bestFit="1" customWidth="1"/>
    <col min="5" max="5" width="15.421875" style="0" bestFit="1" customWidth="1"/>
  </cols>
  <sheetData>
    <row r="1" spans="1:2" ht="15">
      <c r="A1" s="5" t="s">
        <v>36</v>
      </c>
      <c r="B1" s="5" t="s">
        <v>37</v>
      </c>
    </row>
    <row r="2" spans="1:2" ht="15">
      <c r="A2" t="s">
        <v>26</v>
      </c>
      <c r="B2" s="1">
        <v>14.04</v>
      </c>
    </row>
    <row r="3" spans="1:5" ht="15">
      <c r="A3" t="s">
        <v>21</v>
      </c>
      <c r="B3" s="1">
        <v>4.97</v>
      </c>
      <c r="D3" s="4">
        <v>40105</v>
      </c>
      <c r="E3" t="s">
        <v>34</v>
      </c>
    </row>
    <row r="4" spans="1:5" ht="15">
      <c r="A4" s="2" t="s">
        <v>5</v>
      </c>
      <c r="B4" s="1">
        <v>23.77</v>
      </c>
      <c r="D4" s="4">
        <v>40111</v>
      </c>
      <c r="E4" t="s">
        <v>35</v>
      </c>
    </row>
    <row r="5" spans="1:5" ht="15">
      <c r="A5" s="2" t="s">
        <v>6</v>
      </c>
      <c r="B5" s="1">
        <v>4.4</v>
      </c>
      <c r="D5">
        <f>D4-D3</f>
        <v>6</v>
      </c>
      <c r="E5" t="s">
        <v>32</v>
      </c>
    </row>
    <row r="6" spans="1:6" ht="15">
      <c r="A6" s="2" t="s">
        <v>7</v>
      </c>
      <c r="B6" s="1">
        <v>63.09</v>
      </c>
      <c r="D6" s="3">
        <f>B22</f>
        <v>747.7300000000001</v>
      </c>
      <c r="E6" t="s">
        <v>31</v>
      </c>
      <c r="F6" s="4"/>
    </row>
    <row r="7" spans="1:5" ht="15">
      <c r="A7" s="2" t="s">
        <v>8</v>
      </c>
      <c r="B7" s="1">
        <v>6.8</v>
      </c>
      <c r="D7" s="3">
        <f>B22/D5</f>
        <v>124.62166666666668</v>
      </c>
      <c r="E7" t="s">
        <v>38</v>
      </c>
    </row>
    <row r="8" spans="1:2" ht="15">
      <c r="A8" s="2" t="s">
        <v>9</v>
      </c>
      <c r="B8" s="1">
        <v>10</v>
      </c>
    </row>
    <row r="9" spans="1:6" ht="15">
      <c r="A9" s="2" t="s">
        <v>10</v>
      </c>
      <c r="B9" s="1">
        <v>2.06</v>
      </c>
      <c r="E9" t="s">
        <v>180</v>
      </c>
      <c r="F9" s="2">
        <v>50</v>
      </c>
    </row>
    <row r="10" spans="1:6" ht="15">
      <c r="A10" t="s">
        <v>10</v>
      </c>
      <c r="B10" s="1">
        <v>9.55</v>
      </c>
      <c r="E10" t="s">
        <v>167</v>
      </c>
      <c r="F10" s="2">
        <v>40</v>
      </c>
    </row>
    <row r="11" spans="1:6" ht="15">
      <c r="A11" t="s">
        <v>11</v>
      </c>
      <c r="B11" s="1">
        <v>13.94</v>
      </c>
      <c r="E11" t="s">
        <v>182</v>
      </c>
      <c r="F11" s="2">
        <v>10</v>
      </c>
    </row>
    <row r="12" spans="1:6" ht="15">
      <c r="A12" t="s">
        <v>12</v>
      </c>
      <c r="B12" s="1">
        <v>8.85</v>
      </c>
      <c r="E12" t="s">
        <v>181</v>
      </c>
      <c r="F12" s="2">
        <v>20</v>
      </c>
    </row>
    <row r="13" spans="1:6" ht="15">
      <c r="A13" t="s">
        <v>13</v>
      </c>
      <c r="B13" s="1">
        <v>10.68</v>
      </c>
      <c r="F13" s="2">
        <f>SUM(F9:F12)</f>
        <v>120</v>
      </c>
    </row>
    <row r="14" spans="1:2" ht="15">
      <c r="A14" t="s">
        <v>14</v>
      </c>
      <c r="B14" s="1">
        <v>14.65</v>
      </c>
    </row>
    <row r="15" spans="1:2" ht="15">
      <c r="A15" t="s">
        <v>15</v>
      </c>
      <c r="B15" s="1">
        <v>8.6</v>
      </c>
    </row>
    <row r="16" spans="1:2" ht="15">
      <c r="A16" t="s">
        <v>16</v>
      </c>
      <c r="B16" s="1">
        <v>30.65</v>
      </c>
    </row>
    <row r="17" spans="1:2" ht="15">
      <c r="A17" t="s">
        <v>17</v>
      </c>
      <c r="B17" s="1">
        <v>197.3</v>
      </c>
    </row>
    <row r="18" spans="1:2" ht="15">
      <c r="A18" t="s">
        <v>18</v>
      </c>
      <c r="B18" s="1">
        <v>22.89</v>
      </c>
    </row>
    <row r="19" spans="1:2" ht="15">
      <c r="A19" t="s">
        <v>19</v>
      </c>
      <c r="B19" s="1">
        <v>99.71</v>
      </c>
    </row>
    <row r="20" spans="1:2" ht="15">
      <c r="A20" t="s">
        <v>20</v>
      </c>
      <c r="B20" s="1">
        <v>7.7</v>
      </c>
    </row>
    <row r="21" spans="1:2" ht="15.75" thickBot="1">
      <c r="A21" s="7" t="s">
        <v>22</v>
      </c>
      <c r="B21" s="6">
        <v>194.08</v>
      </c>
    </row>
    <row r="22" spans="1:2" ht="15.75" thickTop="1">
      <c r="A22" s="5" t="s">
        <v>31</v>
      </c>
      <c r="B22" s="1">
        <f>SUM(B2:B21)</f>
        <v>747.7300000000001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1"/>
  </sheetViews>
  <sheetFormatPr defaultColWidth="9.140625" defaultRowHeight="15"/>
  <cols>
    <col min="2" max="2" width="25.28125" style="0" bestFit="1" customWidth="1"/>
    <col min="3" max="3" width="10.57421875" style="0" bestFit="1" customWidth="1"/>
    <col min="5" max="5" width="10.57421875" style="0" bestFit="1" customWidth="1"/>
    <col min="6" max="6" width="15.140625" style="0" bestFit="1" customWidth="1"/>
  </cols>
  <sheetData>
    <row r="1" spans="1:3" ht="15">
      <c r="A1" s="5" t="s">
        <v>39</v>
      </c>
      <c r="B1" s="5" t="s">
        <v>36</v>
      </c>
      <c r="C1" s="5" t="s">
        <v>37</v>
      </c>
    </row>
    <row r="2" spans="1:6" ht="15">
      <c r="A2" s="4">
        <v>40119</v>
      </c>
      <c r="B2" t="s">
        <v>29</v>
      </c>
      <c r="C2" s="1">
        <v>33.11</v>
      </c>
      <c r="E2" s="4">
        <f>Vancouver!D4</f>
        <v>40111</v>
      </c>
      <c r="F2" t="s">
        <v>34</v>
      </c>
    </row>
    <row r="3" spans="1:6" ht="15">
      <c r="A3" s="4">
        <v>40116</v>
      </c>
      <c r="B3" t="s">
        <v>27</v>
      </c>
      <c r="C3" s="1">
        <v>90.32</v>
      </c>
      <c r="E3" s="4">
        <v>40120</v>
      </c>
      <c r="F3" t="s">
        <v>35</v>
      </c>
    </row>
    <row r="4" spans="1:6" ht="15">
      <c r="A4" s="4">
        <v>40116</v>
      </c>
      <c r="B4" t="s">
        <v>28</v>
      </c>
      <c r="C4" s="1">
        <v>26.97</v>
      </c>
      <c r="E4">
        <f>E3-E2</f>
        <v>9</v>
      </c>
      <c r="F4" t="s">
        <v>32</v>
      </c>
    </row>
    <row r="5" spans="1:6" ht="15">
      <c r="A5" s="4">
        <v>40115</v>
      </c>
      <c r="B5" t="s">
        <v>30</v>
      </c>
      <c r="C5" s="1">
        <v>2.84</v>
      </c>
      <c r="E5" s="3">
        <f>C15</f>
        <v>1070.5761290322578</v>
      </c>
      <c r="F5" t="s">
        <v>31</v>
      </c>
    </row>
    <row r="6" spans="1:6" ht="15">
      <c r="A6" s="4">
        <v>40112</v>
      </c>
      <c r="B6" t="s">
        <v>22</v>
      </c>
      <c r="C6" s="1">
        <v>193.56</v>
      </c>
      <c r="E6" s="3">
        <f>C15/E4</f>
        <v>118.95290322580642</v>
      </c>
      <c r="F6" t="s">
        <v>38</v>
      </c>
    </row>
    <row r="7" spans="1:3" ht="15">
      <c r="A7" s="4">
        <v>40113</v>
      </c>
      <c r="B7" t="s">
        <v>22</v>
      </c>
      <c r="C7" s="1">
        <v>193.56</v>
      </c>
    </row>
    <row r="8" spans="1:7" ht="15">
      <c r="A8" s="4">
        <v>40115</v>
      </c>
      <c r="B8" t="s">
        <v>22</v>
      </c>
      <c r="C8" s="1">
        <v>129.04</v>
      </c>
      <c r="F8" t="s">
        <v>180</v>
      </c>
      <c r="G8" s="2">
        <v>50</v>
      </c>
    </row>
    <row r="9" spans="1:7" ht="15">
      <c r="A9" s="4">
        <v>40116</v>
      </c>
      <c r="B9" t="s">
        <v>22</v>
      </c>
      <c r="C9" s="1">
        <v>129.04</v>
      </c>
      <c r="F9" t="s">
        <v>167</v>
      </c>
      <c r="G9" s="2">
        <v>30</v>
      </c>
    </row>
    <row r="10" spans="1:7" ht="15">
      <c r="A10" s="4">
        <v>40117</v>
      </c>
      <c r="B10" t="s">
        <v>22</v>
      </c>
      <c r="C10" s="1">
        <v>129.04</v>
      </c>
      <c r="F10" t="s">
        <v>182</v>
      </c>
      <c r="G10" s="2">
        <v>10</v>
      </c>
    </row>
    <row r="11" spans="1:7" ht="15">
      <c r="A11" s="4">
        <v>40118</v>
      </c>
      <c r="B11" t="s">
        <v>22</v>
      </c>
      <c r="C11" s="1">
        <v>129.04</v>
      </c>
      <c r="F11" t="s">
        <v>181</v>
      </c>
      <c r="G11" s="2">
        <v>20</v>
      </c>
    </row>
    <row r="12" spans="1:7" ht="15">
      <c r="A12" s="4">
        <v>40118</v>
      </c>
      <c r="B12" t="s">
        <v>23</v>
      </c>
      <c r="C12" s="1">
        <v>45.03</v>
      </c>
      <c r="G12" s="2">
        <f>SUM(G8:G11)</f>
        <v>110</v>
      </c>
    </row>
    <row r="13" spans="1:3" ht="15">
      <c r="A13" s="4">
        <v>40119</v>
      </c>
      <c r="B13" t="s">
        <v>22</v>
      </c>
      <c r="C13" s="1">
        <v>64.51</v>
      </c>
    </row>
    <row r="14" spans="1:3" ht="15.75" thickBot="1">
      <c r="A14" s="4"/>
      <c r="B14" t="s">
        <v>24</v>
      </c>
      <c r="C14" s="6">
        <f>-740/7.75</f>
        <v>-95.48387096774194</v>
      </c>
    </row>
    <row r="15" spans="2:3" ht="15.75" thickTop="1">
      <c r="B15" s="5" t="s">
        <v>31</v>
      </c>
      <c r="C15" s="3">
        <f>SUM(C2:C14)</f>
        <v>1070.5761290322578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3"/>
  <sheetViews>
    <sheetView workbookViewId="0" topLeftCell="A1">
      <selection activeCell="G11" sqref="G11"/>
    </sheetView>
  </sheetViews>
  <sheetFormatPr defaultColWidth="9.140625" defaultRowHeight="15"/>
  <cols>
    <col min="2" max="2" width="24.57421875" style="0" bestFit="1" customWidth="1"/>
    <col min="3" max="3" width="10.57421875" style="0" bestFit="1" customWidth="1"/>
    <col min="5" max="5" width="10.57421875" style="0" bestFit="1" customWidth="1"/>
    <col min="6" max="6" width="15.421875" style="0" bestFit="1" customWidth="1"/>
  </cols>
  <sheetData>
    <row r="1" spans="1:3" ht="15">
      <c r="A1" s="5" t="s">
        <v>39</v>
      </c>
      <c r="B1" s="5" t="s">
        <v>36</v>
      </c>
      <c r="C1" s="5" t="s">
        <v>37</v>
      </c>
    </row>
    <row r="2" spans="1:6" ht="15">
      <c r="A2" s="4">
        <v>40119</v>
      </c>
      <c r="B2" t="s">
        <v>25</v>
      </c>
      <c r="C2" s="1">
        <v>80</v>
      </c>
      <c r="E2" s="4">
        <f>'HK-Macau'!E3</f>
        <v>40120</v>
      </c>
      <c r="F2" t="s">
        <v>34</v>
      </c>
    </row>
    <row r="3" spans="1:6" ht="15">
      <c r="A3" s="4">
        <v>40121</v>
      </c>
      <c r="B3" t="s">
        <v>62</v>
      </c>
      <c r="C3" s="1">
        <v>102.78</v>
      </c>
      <c r="E3" s="4">
        <v>40150</v>
      </c>
      <c r="F3" t="s">
        <v>35</v>
      </c>
    </row>
    <row r="4" spans="1:6" ht="15">
      <c r="A4" s="4">
        <v>40122</v>
      </c>
      <c r="B4" t="s">
        <v>63</v>
      </c>
      <c r="C4" s="1">
        <v>102.78</v>
      </c>
      <c r="E4">
        <f>E3-E2</f>
        <v>30</v>
      </c>
      <c r="F4" t="s">
        <v>32</v>
      </c>
    </row>
    <row r="5" spans="1:6" ht="15">
      <c r="A5" s="4">
        <v>40119</v>
      </c>
      <c r="B5" t="s">
        <v>33</v>
      </c>
      <c r="C5" s="12">
        <v>18.22</v>
      </c>
      <c r="E5" s="3">
        <f>C33</f>
        <v>2277.7200000000003</v>
      </c>
      <c r="F5" t="s">
        <v>31</v>
      </c>
    </row>
    <row r="6" spans="1:6" ht="15">
      <c r="A6" s="4">
        <v>40123</v>
      </c>
      <c r="B6" t="s">
        <v>64</v>
      </c>
      <c r="C6" s="13">
        <v>102.78</v>
      </c>
      <c r="E6" s="3">
        <f>C33/E4</f>
        <v>75.924</v>
      </c>
      <c r="F6" t="s">
        <v>38</v>
      </c>
    </row>
    <row r="7" spans="1:3" ht="15">
      <c r="A7" s="4">
        <v>40124</v>
      </c>
      <c r="B7" t="s">
        <v>63</v>
      </c>
      <c r="C7" s="13">
        <v>102.78</v>
      </c>
    </row>
    <row r="8" spans="1:7" ht="15">
      <c r="A8" s="4">
        <v>40126</v>
      </c>
      <c r="B8" t="s">
        <v>64</v>
      </c>
      <c r="C8" s="13">
        <v>73.42</v>
      </c>
      <c r="F8" t="s">
        <v>180</v>
      </c>
      <c r="G8" s="2">
        <v>30</v>
      </c>
    </row>
    <row r="9" spans="1:7" ht="15">
      <c r="A9" s="4">
        <v>40128</v>
      </c>
      <c r="B9" t="s">
        <v>64</v>
      </c>
      <c r="C9" s="13">
        <v>73.42</v>
      </c>
      <c r="F9" t="s">
        <v>167</v>
      </c>
      <c r="G9" s="2">
        <v>20</v>
      </c>
    </row>
    <row r="10" spans="1:7" ht="15">
      <c r="A10" s="4">
        <v>40130</v>
      </c>
      <c r="B10" t="s">
        <v>64</v>
      </c>
      <c r="C10" s="13">
        <v>73.42</v>
      </c>
      <c r="F10" t="s">
        <v>182</v>
      </c>
      <c r="G10" s="2">
        <v>15</v>
      </c>
    </row>
    <row r="11" spans="1:7" ht="15">
      <c r="A11" s="4">
        <v>40131</v>
      </c>
      <c r="B11" t="s">
        <v>64</v>
      </c>
      <c r="C11" s="13">
        <v>73.42</v>
      </c>
      <c r="F11" t="s">
        <v>181</v>
      </c>
      <c r="G11" s="2">
        <v>10</v>
      </c>
    </row>
    <row r="12" spans="1:7" ht="15">
      <c r="A12" s="4">
        <v>40124</v>
      </c>
      <c r="B12" t="s">
        <v>65</v>
      </c>
      <c r="C12" s="13">
        <v>7.19</v>
      </c>
      <c r="G12" s="2">
        <f>SUM(G8:G11)</f>
        <v>75</v>
      </c>
    </row>
    <row r="13" spans="1:3" ht="15">
      <c r="A13" s="4">
        <v>40127</v>
      </c>
      <c r="B13" t="s">
        <v>66</v>
      </c>
      <c r="C13" s="13">
        <v>3.7</v>
      </c>
    </row>
    <row r="14" spans="1:3" ht="15">
      <c r="A14" s="4">
        <v>40132</v>
      </c>
      <c r="B14" t="s">
        <v>71</v>
      </c>
      <c r="C14" s="13">
        <v>146.84</v>
      </c>
    </row>
    <row r="15" spans="1:3" ht="15">
      <c r="A15" s="4">
        <v>40134</v>
      </c>
      <c r="B15" t="s">
        <v>71</v>
      </c>
      <c r="C15" s="13">
        <v>146.84</v>
      </c>
    </row>
    <row r="16" spans="1:3" ht="15">
      <c r="A16" s="4">
        <v>40136</v>
      </c>
      <c r="B16" t="s">
        <v>71</v>
      </c>
      <c r="C16" s="13">
        <v>73.42</v>
      </c>
    </row>
    <row r="17" spans="1:3" ht="15">
      <c r="A17" s="4">
        <v>40136</v>
      </c>
      <c r="B17" t="s">
        <v>72</v>
      </c>
      <c r="C17" s="13">
        <v>169.08</v>
      </c>
    </row>
    <row r="18" spans="1:3" ht="15">
      <c r="A18" s="4">
        <v>40136</v>
      </c>
      <c r="B18" t="s">
        <v>81</v>
      </c>
      <c r="C18" s="13">
        <v>23.1</v>
      </c>
    </row>
    <row r="19" spans="1:3" ht="15">
      <c r="A19" s="4">
        <v>40137</v>
      </c>
      <c r="B19" t="s">
        <v>73</v>
      </c>
      <c r="C19" s="13">
        <v>12.63</v>
      </c>
    </row>
    <row r="20" spans="1:3" ht="15">
      <c r="A20" s="4">
        <v>40138</v>
      </c>
      <c r="B20" t="s">
        <v>71</v>
      </c>
      <c r="C20" s="13">
        <v>73.41</v>
      </c>
    </row>
    <row r="21" spans="1:3" ht="15">
      <c r="A21" s="4">
        <v>40138</v>
      </c>
      <c r="B21" t="s">
        <v>71</v>
      </c>
      <c r="C21" s="13">
        <v>73.41</v>
      </c>
    </row>
    <row r="22" spans="1:3" ht="15">
      <c r="A22" s="4">
        <v>40140</v>
      </c>
      <c r="B22" t="s">
        <v>71</v>
      </c>
      <c r="C22" s="13">
        <v>73.41</v>
      </c>
    </row>
    <row r="23" spans="1:3" ht="15">
      <c r="A23" s="4">
        <v>40141</v>
      </c>
      <c r="B23" t="s">
        <v>74</v>
      </c>
      <c r="C23" s="13">
        <v>73.41</v>
      </c>
    </row>
    <row r="24" spans="1:3" ht="15">
      <c r="A24" s="4">
        <v>40142</v>
      </c>
      <c r="B24" t="s">
        <v>75</v>
      </c>
      <c r="C24" s="13">
        <v>73.42</v>
      </c>
    </row>
    <row r="25" spans="1:3" ht="15">
      <c r="A25" s="4">
        <v>40142</v>
      </c>
      <c r="B25" t="s">
        <v>76</v>
      </c>
      <c r="C25" s="13">
        <v>73.42</v>
      </c>
    </row>
    <row r="26" spans="1:3" ht="15">
      <c r="A26" s="4">
        <v>40143</v>
      </c>
      <c r="B26" t="s">
        <v>77</v>
      </c>
      <c r="C26" s="13">
        <v>73.42</v>
      </c>
    </row>
    <row r="27" spans="1:3" ht="15">
      <c r="A27" s="4">
        <v>40145</v>
      </c>
      <c r="B27" t="s">
        <v>75</v>
      </c>
      <c r="C27" s="13">
        <v>73.42</v>
      </c>
    </row>
    <row r="28" spans="1:3" ht="15">
      <c r="A28" s="4">
        <v>40146</v>
      </c>
      <c r="B28" t="s">
        <v>78</v>
      </c>
      <c r="C28" s="13">
        <v>73.42</v>
      </c>
    </row>
    <row r="29" spans="1:3" ht="15">
      <c r="A29" s="4">
        <v>40147</v>
      </c>
      <c r="B29" t="s">
        <v>78</v>
      </c>
      <c r="C29" s="13">
        <v>73.42</v>
      </c>
    </row>
    <row r="30" spans="1:3" ht="15">
      <c r="A30" s="4">
        <v>40147</v>
      </c>
      <c r="B30" t="s">
        <v>82</v>
      </c>
      <c r="C30" s="13">
        <v>7.89</v>
      </c>
    </row>
    <row r="31" spans="1:3" ht="15">
      <c r="A31" s="4">
        <v>40149</v>
      </c>
      <c r="B31" t="s">
        <v>79</v>
      </c>
      <c r="C31" s="13">
        <v>29.37</v>
      </c>
    </row>
    <row r="32" spans="1:3" ht="15">
      <c r="A32" s="4">
        <v>40147</v>
      </c>
      <c r="B32" t="s">
        <v>80</v>
      </c>
      <c r="C32" s="13">
        <f>95.48+25</f>
        <v>120.48</v>
      </c>
    </row>
    <row r="33" ht="15">
      <c r="C33" s="3">
        <f>SUM(C2:C32)</f>
        <v>2277.7200000000003</v>
      </c>
    </row>
  </sheetData>
  <printOptions/>
  <pageMargins left="0.7" right="0.7" top="0.75" bottom="0.75" header="0.3" footer="0.3"/>
  <pageSetup horizontalDpi="200" verticalDpi="2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C1">
      <selection activeCell="L9" sqref="L9"/>
    </sheetView>
  </sheetViews>
  <sheetFormatPr defaultColWidth="9.140625" defaultRowHeight="15"/>
  <cols>
    <col min="2" max="2" width="24.57421875" style="0" bestFit="1" customWidth="1"/>
    <col min="3" max="3" width="10.57421875" style="0" bestFit="1" customWidth="1"/>
    <col min="4" max="4" width="16.140625" style="0" bestFit="1" customWidth="1"/>
    <col min="5" max="7" width="11.57421875" style="0" bestFit="1" customWidth="1"/>
    <col min="8" max="8" width="11.7109375" style="0" bestFit="1" customWidth="1"/>
    <col min="9" max="9" width="2.7109375" style="0" customWidth="1"/>
    <col min="10" max="10" width="10.57421875" style="0" bestFit="1" customWidth="1"/>
    <col min="11" max="11" width="15.140625" style="0" bestFit="1" customWidth="1"/>
  </cols>
  <sheetData>
    <row r="1" spans="1:8" ht="15">
      <c r="A1" s="5" t="s">
        <v>39</v>
      </c>
      <c r="B1" s="5" t="s">
        <v>36</v>
      </c>
      <c r="C1" s="5" t="s">
        <v>37</v>
      </c>
      <c r="D1" s="5" t="s">
        <v>100</v>
      </c>
      <c r="E1" s="5" t="s">
        <v>101</v>
      </c>
      <c r="F1" s="5" t="s">
        <v>104</v>
      </c>
      <c r="G1" s="5" t="s">
        <v>102</v>
      </c>
      <c r="H1" s="5" t="s">
        <v>103</v>
      </c>
    </row>
    <row r="2" spans="1:8" ht="15">
      <c r="A2" s="4">
        <v>40147</v>
      </c>
      <c r="B2" t="s">
        <v>92</v>
      </c>
      <c r="C2" s="1">
        <v>7.89</v>
      </c>
      <c r="E2" s="32" t="str">
        <f>IF(D2&lt;&gt;"",D2/C2,"")</f>
        <v/>
      </c>
      <c r="G2" s="32" t="str">
        <f aca="true" t="shared" si="0" ref="G2">IF(F2&lt;&gt;"",(E2*C2+F2)/C2,"")</f>
        <v/>
      </c>
      <c r="H2" s="33" t="str">
        <f>IF(G2&lt;&gt;"",F2/G2,"")</f>
        <v/>
      </c>
    </row>
    <row r="3" spans="1:11" ht="15">
      <c r="A3" s="4">
        <v>40148</v>
      </c>
      <c r="B3" t="s">
        <v>91</v>
      </c>
      <c r="C3" s="1">
        <v>7.6</v>
      </c>
      <c r="E3" s="32" t="str">
        <f aca="true" t="shared" si="1" ref="E3:E32">IF(D3&lt;&gt;"",D3/C3,"")</f>
        <v/>
      </c>
      <c r="G3" s="32" t="str">
        <f aca="true" t="shared" si="2" ref="G3:G32">IF(F3&lt;&gt;"",(E3*C3+F3)/C3,"")</f>
        <v/>
      </c>
      <c r="H3" s="33" t="str">
        <f aca="true" t="shared" si="3" ref="H3:H32">IF(G3&lt;&gt;"",F3/G3,"")</f>
        <v/>
      </c>
      <c r="J3" s="4">
        <f>'M China'!E3</f>
        <v>40150</v>
      </c>
      <c r="K3" t="s">
        <v>34</v>
      </c>
    </row>
    <row r="4" spans="1:11" ht="15">
      <c r="A4" s="4">
        <v>40150</v>
      </c>
      <c r="B4" t="s">
        <v>83</v>
      </c>
      <c r="C4" s="1">
        <v>27.05</v>
      </c>
      <c r="D4" s="2">
        <v>500000</v>
      </c>
      <c r="E4" s="32">
        <f t="shared" si="1"/>
        <v>18484.288354898337</v>
      </c>
      <c r="F4" s="2">
        <v>0</v>
      </c>
      <c r="G4" s="32">
        <f t="shared" si="2"/>
        <v>18484.288354898337</v>
      </c>
      <c r="H4" s="33">
        <f t="shared" si="3"/>
        <v>0</v>
      </c>
      <c r="J4" s="4">
        <v>40189</v>
      </c>
      <c r="K4" t="s">
        <v>35</v>
      </c>
    </row>
    <row r="5" spans="1:11" ht="15">
      <c r="A5" s="4">
        <v>40151</v>
      </c>
      <c r="B5" t="s">
        <v>84</v>
      </c>
      <c r="C5" s="1">
        <v>27.05</v>
      </c>
      <c r="D5" s="2">
        <v>500000</v>
      </c>
      <c r="E5" s="32">
        <f t="shared" si="1"/>
        <v>18484.288354898337</v>
      </c>
      <c r="F5" s="2">
        <v>0</v>
      </c>
      <c r="G5" s="32">
        <f t="shared" si="2"/>
        <v>18484.288354898337</v>
      </c>
      <c r="H5" s="33">
        <f t="shared" si="3"/>
        <v>0</v>
      </c>
      <c r="J5">
        <f>J4-J3</f>
        <v>39</v>
      </c>
      <c r="K5" t="s">
        <v>32</v>
      </c>
    </row>
    <row r="6" spans="1:11" ht="15">
      <c r="A6" s="4">
        <v>40153</v>
      </c>
      <c r="B6" t="s">
        <v>85</v>
      </c>
      <c r="C6" s="12">
        <v>109.31</v>
      </c>
      <c r="D6" s="2">
        <v>2000000</v>
      </c>
      <c r="E6" s="32">
        <f t="shared" si="1"/>
        <v>18296.587686396488</v>
      </c>
      <c r="F6" s="2">
        <v>20000</v>
      </c>
      <c r="G6" s="32">
        <f t="shared" si="2"/>
        <v>18479.55356326045</v>
      </c>
      <c r="H6" s="33">
        <f t="shared" si="3"/>
        <v>1.0822772277227724</v>
      </c>
      <c r="J6" s="3">
        <f>C33-50</f>
        <v>1825.0500000000002</v>
      </c>
      <c r="K6" t="s">
        <v>31</v>
      </c>
    </row>
    <row r="7" spans="1:11" ht="15">
      <c r="A7" s="4">
        <v>40153</v>
      </c>
      <c r="B7" t="s">
        <v>86</v>
      </c>
      <c r="C7" s="13">
        <v>109.31</v>
      </c>
      <c r="D7" s="2">
        <v>2000000</v>
      </c>
      <c r="E7" s="32">
        <f t="shared" si="1"/>
        <v>18296.587686396488</v>
      </c>
      <c r="F7" s="2">
        <v>20000</v>
      </c>
      <c r="G7" s="32">
        <f t="shared" si="2"/>
        <v>18479.55356326045</v>
      </c>
      <c r="H7" s="33">
        <f t="shared" si="3"/>
        <v>1.0822772277227724</v>
      </c>
      <c r="J7" s="3">
        <f>J6/J5</f>
        <v>46.79615384615385</v>
      </c>
      <c r="K7" t="s">
        <v>38</v>
      </c>
    </row>
    <row r="8" spans="1:12" ht="15">
      <c r="A8" s="4">
        <v>40156</v>
      </c>
      <c r="B8" t="s">
        <v>87</v>
      </c>
      <c r="C8" s="13">
        <v>28.15</v>
      </c>
      <c r="D8" s="2">
        <v>500000</v>
      </c>
      <c r="E8" s="32">
        <f t="shared" si="1"/>
        <v>17761.989342806395</v>
      </c>
      <c r="F8" s="2">
        <v>20000</v>
      </c>
      <c r="G8" s="32">
        <f t="shared" si="2"/>
        <v>18472.46891651865</v>
      </c>
      <c r="H8" s="33">
        <f t="shared" si="3"/>
        <v>1.0826923076923076</v>
      </c>
      <c r="L8" t="s">
        <v>67</v>
      </c>
    </row>
    <row r="9" spans="1:12" ht="15">
      <c r="A9" s="4">
        <v>40158</v>
      </c>
      <c r="B9" t="s">
        <v>87</v>
      </c>
      <c r="C9" s="13">
        <v>28.15</v>
      </c>
      <c r="D9" s="2">
        <v>500000</v>
      </c>
      <c r="E9" s="32">
        <f t="shared" si="1"/>
        <v>17761.989342806395</v>
      </c>
      <c r="F9" s="2">
        <v>20000</v>
      </c>
      <c r="G9" s="32">
        <f t="shared" si="2"/>
        <v>18472.46891651865</v>
      </c>
      <c r="H9" s="33">
        <f t="shared" si="3"/>
        <v>1.0826923076923076</v>
      </c>
      <c r="K9" t="s">
        <v>180</v>
      </c>
      <c r="L9" s="2">
        <v>18</v>
      </c>
    </row>
    <row r="10" spans="1:12" ht="15">
      <c r="A10" s="4">
        <v>40158</v>
      </c>
      <c r="B10" t="str">
        <f>"00001058"</f>
        <v>00001058</v>
      </c>
      <c r="C10" s="13">
        <v>55.21</v>
      </c>
      <c r="D10" s="2">
        <v>1000000</v>
      </c>
      <c r="E10" s="32">
        <f t="shared" si="1"/>
        <v>18112.660749864153</v>
      </c>
      <c r="F10" s="2">
        <v>20000</v>
      </c>
      <c r="G10" s="32">
        <f t="shared" si="2"/>
        <v>18474.913964861436</v>
      </c>
      <c r="H10" s="33">
        <f t="shared" si="3"/>
        <v>1.0825490196078433</v>
      </c>
      <c r="K10" t="s">
        <v>167</v>
      </c>
      <c r="L10" s="2">
        <v>10</v>
      </c>
    </row>
    <row r="11" spans="1:12" ht="15">
      <c r="A11" s="4">
        <v>40158</v>
      </c>
      <c r="B11" t="s">
        <v>105</v>
      </c>
      <c r="C11" s="13">
        <v>6</v>
      </c>
      <c r="D11" s="2"/>
      <c r="E11" s="32" t="str">
        <f t="shared" si="1"/>
        <v/>
      </c>
      <c r="F11" s="2"/>
      <c r="G11" s="32" t="str">
        <f t="shared" si="2"/>
        <v/>
      </c>
      <c r="H11" s="33" t="str">
        <f t="shared" si="3"/>
        <v/>
      </c>
      <c r="K11" t="s">
        <v>182</v>
      </c>
      <c r="L11" s="2">
        <v>10</v>
      </c>
    </row>
    <row r="12" spans="1:12" ht="15">
      <c r="A12" s="4">
        <v>40160</v>
      </c>
      <c r="B12" t="s">
        <v>88</v>
      </c>
      <c r="C12" s="13">
        <v>55.21</v>
      </c>
      <c r="D12" s="2">
        <v>1000000</v>
      </c>
      <c r="E12" s="32">
        <f t="shared" si="1"/>
        <v>18112.660749864153</v>
      </c>
      <c r="F12" s="2">
        <v>20000</v>
      </c>
      <c r="G12" s="32">
        <f t="shared" si="2"/>
        <v>18474.913964861436</v>
      </c>
      <c r="H12" s="33">
        <f t="shared" si="3"/>
        <v>1.0825490196078433</v>
      </c>
      <c r="K12" t="s">
        <v>181</v>
      </c>
      <c r="L12" s="2">
        <v>8</v>
      </c>
    </row>
    <row r="13" spans="1:12" ht="15">
      <c r="A13" s="4">
        <v>40161</v>
      </c>
      <c r="B13" t="s">
        <v>89</v>
      </c>
      <c r="C13" s="13">
        <v>55.21</v>
      </c>
      <c r="D13" s="2">
        <v>1000000</v>
      </c>
      <c r="E13" s="32">
        <f t="shared" si="1"/>
        <v>18112.660749864153</v>
      </c>
      <c r="F13" s="2">
        <v>20000</v>
      </c>
      <c r="G13" s="32">
        <f t="shared" si="2"/>
        <v>18474.913964861436</v>
      </c>
      <c r="H13" s="33">
        <f t="shared" si="3"/>
        <v>1.0825490196078433</v>
      </c>
      <c r="L13" s="2">
        <f>SUM(L9:L12)</f>
        <v>46</v>
      </c>
    </row>
    <row r="14" spans="1:8" ht="15">
      <c r="A14" s="4">
        <v>40161</v>
      </c>
      <c r="B14" t="s">
        <v>106</v>
      </c>
      <c r="C14" s="13">
        <v>5.2</v>
      </c>
      <c r="D14" s="2"/>
      <c r="E14" s="32" t="str">
        <f t="shared" si="1"/>
        <v/>
      </c>
      <c r="F14" s="2"/>
      <c r="G14" s="32" t="str">
        <f t="shared" si="2"/>
        <v/>
      </c>
      <c r="H14" s="33" t="str">
        <f t="shared" si="3"/>
        <v/>
      </c>
    </row>
    <row r="15" spans="1:8" ht="15">
      <c r="A15" s="4">
        <v>40161</v>
      </c>
      <c r="B15" t="s">
        <v>106</v>
      </c>
      <c r="C15" s="13">
        <v>6.6</v>
      </c>
      <c r="D15" s="2"/>
      <c r="E15" s="32" t="str">
        <f t="shared" si="1"/>
        <v/>
      </c>
      <c r="F15" s="2"/>
      <c r="G15" s="32" t="str">
        <f t="shared" si="2"/>
        <v/>
      </c>
      <c r="H15" s="33" t="str">
        <f t="shared" si="3"/>
        <v/>
      </c>
    </row>
    <row r="16" spans="1:8" ht="15">
      <c r="A16" s="4">
        <v>40163</v>
      </c>
      <c r="B16" t="s">
        <v>93</v>
      </c>
      <c r="C16" s="13">
        <v>55.21</v>
      </c>
      <c r="D16" s="2">
        <v>1000000</v>
      </c>
      <c r="E16" s="32">
        <f t="shared" si="1"/>
        <v>18112.660749864153</v>
      </c>
      <c r="F16" s="2">
        <v>20000</v>
      </c>
      <c r="G16" s="32">
        <f t="shared" si="2"/>
        <v>18474.913964861436</v>
      </c>
      <c r="H16" s="33">
        <f t="shared" si="3"/>
        <v>1.0825490196078433</v>
      </c>
    </row>
    <row r="17" spans="1:8" ht="15">
      <c r="A17" s="4">
        <v>40164</v>
      </c>
      <c r="B17" t="s">
        <v>88</v>
      </c>
      <c r="C17" s="13">
        <v>55.21</v>
      </c>
      <c r="D17" s="2">
        <v>1000000</v>
      </c>
      <c r="E17" s="32">
        <f t="shared" si="1"/>
        <v>18112.660749864153</v>
      </c>
      <c r="F17" s="2">
        <v>20000</v>
      </c>
      <c r="G17" s="32">
        <f t="shared" si="2"/>
        <v>18474.913964861436</v>
      </c>
      <c r="H17" s="33">
        <f t="shared" si="3"/>
        <v>1.0825490196078433</v>
      </c>
    </row>
    <row r="18" spans="1:8" ht="15">
      <c r="A18" s="4">
        <v>40168</v>
      </c>
      <c r="B18" t="s">
        <v>94</v>
      </c>
      <c r="C18" s="13">
        <v>109.88</v>
      </c>
      <c r="D18" s="2">
        <v>2000000</v>
      </c>
      <c r="E18" s="32">
        <f t="shared" si="1"/>
        <v>18201.674554058973</v>
      </c>
      <c r="F18" s="2">
        <v>30000</v>
      </c>
      <c r="G18" s="32">
        <f t="shared" si="2"/>
        <v>18474.699672369858</v>
      </c>
      <c r="H18" s="33">
        <f t="shared" si="3"/>
        <v>1.6238423645320197</v>
      </c>
    </row>
    <row r="19" spans="1:8" ht="13.5" customHeight="1">
      <c r="A19" s="4">
        <v>40169</v>
      </c>
      <c r="B19" t="s">
        <v>95</v>
      </c>
      <c r="C19" s="13">
        <v>55.21</v>
      </c>
      <c r="D19" s="2">
        <v>1000000</v>
      </c>
      <c r="E19" s="32">
        <f t="shared" si="1"/>
        <v>18112.660749864153</v>
      </c>
      <c r="F19" s="2">
        <v>20000</v>
      </c>
      <c r="G19" s="32">
        <f t="shared" si="2"/>
        <v>18474.913964861436</v>
      </c>
      <c r="H19" s="33">
        <f t="shared" si="3"/>
        <v>1.0825490196078433</v>
      </c>
    </row>
    <row r="20" spans="1:8" ht="13.5" customHeight="1">
      <c r="A20" s="4">
        <v>40169</v>
      </c>
      <c r="B20" t="s">
        <v>105</v>
      </c>
      <c r="C20" s="13">
        <v>3.4</v>
      </c>
      <c r="D20" s="2"/>
      <c r="E20" s="32" t="str">
        <f aca="true" t="shared" si="4" ref="E20:E21">IF(D20&lt;&gt;"",D20/C20,"")</f>
        <v/>
      </c>
      <c r="F20" s="2"/>
      <c r="G20" s="32" t="str">
        <f aca="true" t="shared" si="5" ref="G20:G21">IF(F20&lt;&gt;"",(E20*C20+F20)/C20,"")</f>
        <v/>
      </c>
      <c r="H20" s="33" t="str">
        <f aca="true" t="shared" si="6" ref="H20:H21">IF(G20&lt;&gt;"",F20/G20,"")</f>
        <v/>
      </c>
    </row>
    <row r="21" spans="1:8" ht="13.5" customHeight="1">
      <c r="A21" s="4">
        <v>40169</v>
      </c>
      <c r="B21" t="s">
        <v>105</v>
      </c>
      <c r="C21" s="13">
        <v>1.4</v>
      </c>
      <c r="D21" s="2"/>
      <c r="E21" s="32" t="str">
        <f t="shared" si="4"/>
        <v/>
      </c>
      <c r="F21" s="2"/>
      <c r="G21" s="32" t="str">
        <f t="shared" si="5"/>
        <v/>
      </c>
      <c r="H21" s="33" t="str">
        <f t="shared" si="6"/>
        <v/>
      </c>
    </row>
    <row r="22" spans="1:8" ht="15">
      <c r="A22" s="4">
        <v>40170</v>
      </c>
      <c r="B22" t="s">
        <v>96</v>
      </c>
      <c r="C22" s="13">
        <v>109.34</v>
      </c>
      <c r="D22" s="2">
        <v>2000000</v>
      </c>
      <c r="E22" s="32">
        <f t="shared" si="1"/>
        <v>18291.567587342233</v>
      </c>
      <c r="F22" s="2">
        <v>20000</v>
      </c>
      <c r="G22" s="32">
        <f t="shared" si="2"/>
        <v>18474.483263215654</v>
      </c>
      <c r="H22" s="33">
        <f t="shared" si="3"/>
        <v>1.0825742574257429</v>
      </c>
    </row>
    <row r="23" spans="1:8" ht="15">
      <c r="A23" s="4">
        <v>40170</v>
      </c>
      <c r="B23" t="s">
        <v>107</v>
      </c>
      <c r="C23" s="13">
        <v>50</v>
      </c>
      <c r="D23" s="2"/>
      <c r="E23" s="32" t="str">
        <f aca="true" t="shared" si="7" ref="E23:E24">IF(D23&lt;&gt;"",D23/C23,"")</f>
        <v/>
      </c>
      <c r="F23" s="2"/>
      <c r="G23" s="32" t="str">
        <f aca="true" t="shared" si="8" ref="G23:G24">IF(F23&lt;&gt;"",(E23*C23+F23)/C23,"")</f>
        <v/>
      </c>
      <c r="H23" s="33" t="str">
        <f aca="true" t="shared" si="9" ref="H23:H24">IF(G23&lt;&gt;"",F23/G23,"")</f>
        <v/>
      </c>
    </row>
    <row r="24" spans="1:8" ht="15">
      <c r="A24" s="4">
        <v>40173</v>
      </c>
      <c r="B24" t="s">
        <v>108</v>
      </c>
      <c r="C24" s="13">
        <v>2.95</v>
      </c>
      <c r="D24" s="31"/>
      <c r="E24" s="32" t="str">
        <f t="shared" si="7"/>
        <v/>
      </c>
      <c r="F24" s="2"/>
      <c r="G24" s="32" t="str">
        <f t="shared" si="8"/>
        <v/>
      </c>
      <c r="H24" s="33" t="str">
        <f t="shared" si="9"/>
        <v/>
      </c>
    </row>
    <row r="25" spans="1:8" ht="15">
      <c r="A25" s="4">
        <v>40174</v>
      </c>
      <c r="B25" t="s">
        <v>97</v>
      </c>
      <c r="C25" s="13">
        <v>162.39</v>
      </c>
      <c r="D25" s="31">
        <v>3000000</v>
      </c>
      <c r="E25" s="32">
        <f t="shared" si="1"/>
        <v>18474.043968224647</v>
      </c>
      <c r="F25" s="2">
        <v>0</v>
      </c>
      <c r="G25" s="32">
        <f t="shared" si="2"/>
        <v>18474.043968224647</v>
      </c>
      <c r="H25" s="33">
        <f t="shared" si="3"/>
        <v>0</v>
      </c>
    </row>
    <row r="26" spans="1:8" ht="15">
      <c r="A26" s="4">
        <v>40175</v>
      </c>
      <c r="B26" t="s">
        <v>98</v>
      </c>
      <c r="C26" s="13">
        <v>55.75</v>
      </c>
      <c r="D26" s="2">
        <v>1000000</v>
      </c>
      <c r="E26" s="32">
        <f t="shared" si="1"/>
        <v>17937.219730941702</v>
      </c>
      <c r="F26" s="2">
        <v>30000</v>
      </c>
      <c r="G26" s="32">
        <f t="shared" si="2"/>
        <v>18475.336322869953</v>
      </c>
      <c r="H26" s="33">
        <f t="shared" si="3"/>
        <v>1.6237864077669906</v>
      </c>
    </row>
    <row r="27" spans="1:8" ht="15">
      <c r="A27" s="4">
        <v>40177</v>
      </c>
      <c r="B27" t="s">
        <v>99</v>
      </c>
      <c r="C27" s="13">
        <v>110.43</v>
      </c>
      <c r="D27" s="2">
        <v>2000000</v>
      </c>
      <c r="E27" s="32">
        <f t="shared" si="1"/>
        <v>18111.02055600833</v>
      </c>
      <c r="F27" s="2">
        <v>40000</v>
      </c>
      <c r="G27" s="32">
        <f t="shared" si="2"/>
        <v>18473.240967128495</v>
      </c>
      <c r="H27" s="33">
        <f t="shared" si="3"/>
        <v>2.165294117647059</v>
      </c>
    </row>
    <row r="28" spans="1:8" ht="15">
      <c r="A28" s="4">
        <v>40513</v>
      </c>
      <c r="B28" t="s">
        <v>109</v>
      </c>
      <c r="C28" s="13">
        <v>136.41</v>
      </c>
      <c r="D28" s="2">
        <v>2500000</v>
      </c>
      <c r="E28" s="34">
        <f t="shared" si="1"/>
        <v>18327.102118613006</v>
      </c>
      <c r="F28" s="2">
        <v>20000</v>
      </c>
      <c r="G28" s="34">
        <f t="shared" si="2"/>
        <v>18473.71893556191</v>
      </c>
      <c r="H28" s="35">
        <f t="shared" si="3"/>
        <v>1.0826190476190476</v>
      </c>
    </row>
    <row r="29" spans="1:8" ht="15">
      <c r="A29" s="4">
        <v>40182</v>
      </c>
      <c r="B29" t="s">
        <v>110</v>
      </c>
      <c r="C29" s="13">
        <v>109.34</v>
      </c>
      <c r="D29" s="2">
        <v>2000000</v>
      </c>
      <c r="E29" s="34">
        <f t="shared" si="1"/>
        <v>18291.567587342233</v>
      </c>
      <c r="F29" s="2">
        <v>20000</v>
      </c>
      <c r="G29" s="34">
        <f t="shared" si="2"/>
        <v>18474.483263215654</v>
      </c>
      <c r="H29" s="35">
        <f t="shared" si="3"/>
        <v>1.0825742574257429</v>
      </c>
    </row>
    <row r="30" spans="1:8" ht="15">
      <c r="A30" s="4">
        <v>40184</v>
      </c>
      <c r="B30" t="s">
        <v>111</v>
      </c>
      <c r="C30" s="13">
        <v>108.26</v>
      </c>
      <c r="D30" s="2">
        <v>2000000</v>
      </c>
      <c r="E30" s="34">
        <f t="shared" si="1"/>
        <v>18474.043968224643</v>
      </c>
      <c r="F30" s="2">
        <v>0</v>
      </c>
      <c r="G30" s="34">
        <f t="shared" si="2"/>
        <v>18474.043968224643</v>
      </c>
      <c r="H30" s="35">
        <f t="shared" si="3"/>
        <v>0</v>
      </c>
    </row>
    <row r="31" spans="1:8" ht="15">
      <c r="A31" s="4">
        <v>40187</v>
      </c>
      <c r="B31" t="s">
        <v>111</v>
      </c>
      <c r="C31" s="13">
        <v>162.39</v>
      </c>
      <c r="D31" s="2">
        <v>3000000</v>
      </c>
      <c r="E31" s="34">
        <f t="shared" si="1"/>
        <v>18474.043968224647</v>
      </c>
      <c r="F31" s="2">
        <v>0</v>
      </c>
      <c r="G31" s="34">
        <f t="shared" si="2"/>
        <v>18474.043968224647</v>
      </c>
      <c r="H31" s="35">
        <f t="shared" si="3"/>
        <v>0</v>
      </c>
    </row>
    <row r="32" spans="1:8" ht="15">
      <c r="A32" s="4">
        <v>40188</v>
      </c>
      <c r="B32" t="s">
        <v>111</v>
      </c>
      <c r="C32" s="13">
        <v>59.54</v>
      </c>
      <c r="D32" s="2">
        <v>1100000</v>
      </c>
      <c r="E32" s="34">
        <f t="shared" si="1"/>
        <v>18474.974806852537</v>
      </c>
      <c r="F32" s="2">
        <v>0</v>
      </c>
      <c r="G32" s="34">
        <f t="shared" si="2"/>
        <v>18474.974806852537</v>
      </c>
      <c r="H32" s="35">
        <f t="shared" si="3"/>
        <v>0</v>
      </c>
    </row>
    <row r="33" spans="1:8" ht="15">
      <c r="A33" s="4"/>
      <c r="C33" s="3">
        <f>SUM(C2:C32)</f>
        <v>1875.0500000000002</v>
      </c>
      <c r="H33" s="3">
        <f>SUM(H2:H32)</f>
        <v>19.485923640893823</v>
      </c>
    </row>
    <row r="34" spans="1:4" ht="15">
      <c r="A34" s="4"/>
      <c r="C34" s="13"/>
      <c r="D34" s="2"/>
    </row>
    <row r="35" ht="15">
      <c r="A35" s="4"/>
    </row>
    <row r="36" spans="1:3" ht="15">
      <c r="A36" s="4"/>
      <c r="C36" s="13"/>
    </row>
    <row r="37" spans="1:3" ht="15">
      <c r="A37" s="4"/>
      <c r="C37" s="13"/>
    </row>
    <row r="38" spans="1:3" ht="15">
      <c r="A38" s="4"/>
      <c r="C38" s="13"/>
    </row>
    <row r="39" spans="1:3" ht="15">
      <c r="A39" s="4"/>
      <c r="C39" s="13"/>
    </row>
    <row r="40" spans="1:3" ht="15">
      <c r="A40" s="4"/>
      <c r="C40" s="13"/>
    </row>
    <row r="41" spans="1:3" ht="15">
      <c r="A41" s="4"/>
      <c r="C41" s="13"/>
    </row>
    <row r="42" spans="1:3" ht="15">
      <c r="A42" s="4"/>
      <c r="C42" s="13"/>
    </row>
    <row r="43" spans="1:3" ht="15">
      <c r="A43" s="4"/>
      <c r="C43" s="13"/>
    </row>
    <row r="44" spans="1:3" ht="15">
      <c r="A44" s="4"/>
      <c r="C44" s="13"/>
    </row>
    <row r="45" spans="1:3" ht="15">
      <c r="A45" s="4"/>
      <c r="C45" s="13"/>
    </row>
    <row r="46" spans="1:3" ht="15">
      <c r="A46" s="4"/>
      <c r="C46" s="13"/>
    </row>
    <row r="47" spans="1:3" ht="15">
      <c r="A47" s="4"/>
      <c r="C47" s="13"/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6"/>
  <sheetViews>
    <sheetView workbookViewId="0" topLeftCell="A1"/>
  </sheetViews>
  <sheetFormatPr defaultColWidth="9.140625" defaultRowHeight="15"/>
  <cols>
    <col min="2" max="2" width="24.57421875" style="0" bestFit="1" customWidth="1"/>
    <col min="3" max="3" width="10.57421875" style="0" bestFit="1" customWidth="1"/>
    <col min="5" max="5" width="10.57421875" style="0" bestFit="1" customWidth="1"/>
    <col min="6" max="6" width="15.421875" style="0" bestFit="1" customWidth="1"/>
  </cols>
  <sheetData>
    <row r="1" spans="1:3" ht="15">
      <c r="A1" s="5" t="s">
        <v>39</v>
      </c>
      <c r="B1" s="5" t="s">
        <v>36</v>
      </c>
      <c r="C1" s="5" t="s">
        <v>37</v>
      </c>
    </row>
    <row r="2" spans="1:6" ht="15">
      <c r="A2" s="4">
        <v>40189</v>
      </c>
      <c r="B2" t="s">
        <v>112</v>
      </c>
      <c r="C2" s="1">
        <v>104</v>
      </c>
      <c r="D2">
        <v>4</v>
      </c>
      <c r="E2" s="4">
        <f>Vietnam!J4</f>
        <v>40189</v>
      </c>
      <c r="F2" t="s">
        <v>34</v>
      </c>
    </row>
    <row r="3" spans="1:6" ht="15">
      <c r="A3" s="4">
        <v>40189</v>
      </c>
      <c r="B3" t="s">
        <v>122</v>
      </c>
      <c r="C3" s="1">
        <v>4.5</v>
      </c>
      <c r="E3" s="4">
        <v>40206</v>
      </c>
      <c r="F3" t="s">
        <v>35</v>
      </c>
    </row>
    <row r="4" spans="1:6" ht="15">
      <c r="A4" s="4">
        <v>40191</v>
      </c>
      <c r="B4" t="s">
        <v>113</v>
      </c>
      <c r="C4" s="1">
        <v>100</v>
      </c>
      <c r="E4">
        <f>E3-E2</f>
        <v>17</v>
      </c>
      <c r="F4" t="s">
        <v>32</v>
      </c>
    </row>
    <row r="5" spans="1:6" ht="15">
      <c r="A5" s="4">
        <v>40192</v>
      </c>
      <c r="B5" t="s">
        <v>113</v>
      </c>
      <c r="C5" s="1">
        <v>100</v>
      </c>
      <c r="E5" s="3">
        <f>C12</f>
        <v>862.5</v>
      </c>
      <c r="F5" t="s">
        <v>31</v>
      </c>
    </row>
    <row r="6" spans="1:6" ht="15">
      <c r="A6" s="4">
        <v>40192</v>
      </c>
      <c r="B6" t="s">
        <v>123</v>
      </c>
      <c r="C6" s="1">
        <v>2</v>
      </c>
      <c r="E6" s="3">
        <f>C12/E4</f>
        <v>50.73529411764706</v>
      </c>
      <c r="F6" t="s">
        <v>38</v>
      </c>
    </row>
    <row r="7" spans="1:7" ht="15">
      <c r="A7" s="4">
        <v>40196</v>
      </c>
      <c r="B7" t="s">
        <v>117</v>
      </c>
      <c r="C7" s="12">
        <v>102</v>
      </c>
      <c r="D7">
        <v>2</v>
      </c>
      <c r="G7" t="s">
        <v>67</v>
      </c>
    </row>
    <row r="8" spans="1:7" ht="15">
      <c r="A8" s="4">
        <v>40198</v>
      </c>
      <c r="B8" t="s">
        <v>118</v>
      </c>
      <c r="C8" s="13">
        <v>200</v>
      </c>
      <c r="F8" t="s">
        <v>180</v>
      </c>
      <c r="G8" s="2">
        <v>22</v>
      </c>
    </row>
    <row r="9" spans="1:7" ht="15">
      <c r="A9" s="4">
        <v>40200</v>
      </c>
      <c r="B9" t="s">
        <v>120</v>
      </c>
      <c r="C9" s="13">
        <v>100</v>
      </c>
      <c r="F9" t="s">
        <v>167</v>
      </c>
      <c r="G9" s="2">
        <v>12</v>
      </c>
    </row>
    <row r="10" spans="1:7" ht="15">
      <c r="A10" s="4">
        <v>40201</v>
      </c>
      <c r="B10" t="s">
        <v>121</v>
      </c>
      <c r="C10" s="13">
        <v>100</v>
      </c>
      <c r="F10" t="s">
        <v>182</v>
      </c>
      <c r="G10" s="2">
        <v>8</v>
      </c>
    </row>
    <row r="11" spans="1:7" ht="15">
      <c r="A11" s="4">
        <v>40205</v>
      </c>
      <c r="B11" t="s">
        <v>121</v>
      </c>
      <c r="C11" s="13">
        <v>50</v>
      </c>
      <c r="F11" t="s">
        <v>181</v>
      </c>
      <c r="G11" s="2">
        <v>8</v>
      </c>
    </row>
    <row r="12" spans="1:7" ht="15">
      <c r="A12" s="4"/>
      <c r="C12" s="3">
        <f>SUM(C2:C11)</f>
        <v>862.5</v>
      </c>
      <c r="G12" s="2">
        <f>SUM(G8:G11)</f>
        <v>50</v>
      </c>
    </row>
    <row r="13" spans="1:3" ht="15">
      <c r="A13" s="4"/>
      <c r="C13" s="13"/>
    </row>
    <row r="14" spans="1:3" ht="15">
      <c r="A14" s="4"/>
      <c r="C14" s="13"/>
    </row>
    <row r="15" spans="1:3" ht="15">
      <c r="A15" s="4"/>
      <c r="C15" s="13"/>
    </row>
    <row r="16" spans="1:3" ht="15">
      <c r="A16" s="4"/>
      <c r="C16" s="13"/>
    </row>
    <row r="17" spans="1:3" ht="15">
      <c r="A17" s="4"/>
      <c r="C17" s="13"/>
    </row>
    <row r="18" spans="1:3" ht="15">
      <c r="A18" s="4"/>
      <c r="C18" s="13"/>
    </row>
    <row r="19" spans="1:3" ht="15">
      <c r="A19" s="4"/>
      <c r="C19" s="13"/>
    </row>
    <row r="20" spans="1:3" ht="15">
      <c r="A20" s="4"/>
      <c r="C20" s="13"/>
    </row>
    <row r="21" spans="1:3" ht="15">
      <c r="A21" s="4"/>
      <c r="C21" s="13"/>
    </row>
    <row r="22" spans="1:3" ht="15">
      <c r="A22" s="4"/>
      <c r="C22" s="13"/>
    </row>
    <row r="23" spans="1:3" ht="15">
      <c r="A23" s="4"/>
      <c r="C23" s="13"/>
    </row>
    <row r="24" spans="1:3" ht="15">
      <c r="A24" s="4"/>
      <c r="C24" s="13"/>
    </row>
    <row r="25" spans="1:3" ht="15">
      <c r="A25" s="4"/>
      <c r="C25" s="13"/>
    </row>
    <row r="26" spans="1:3" ht="15">
      <c r="A26" s="4"/>
      <c r="C26" s="13"/>
    </row>
    <row r="27" spans="1:3" ht="15">
      <c r="A27" s="4"/>
      <c r="C27" s="13"/>
    </row>
    <row r="28" spans="1:3" ht="15">
      <c r="A28" s="4"/>
      <c r="C28" s="13"/>
    </row>
    <row r="29" spans="1:3" ht="15">
      <c r="A29" s="4"/>
      <c r="C29" s="13"/>
    </row>
    <row r="30" spans="1:3" ht="15">
      <c r="A30" s="4"/>
      <c r="C30" s="13"/>
    </row>
    <row r="31" spans="1:3" ht="15">
      <c r="A31" s="4"/>
      <c r="C31" s="13"/>
    </row>
    <row r="32" spans="1:3" ht="15">
      <c r="A32" s="4"/>
      <c r="C32" s="13"/>
    </row>
    <row r="33" spans="1:3" ht="15">
      <c r="A33" s="4"/>
      <c r="C33" s="13"/>
    </row>
    <row r="34" spans="1:3" ht="15">
      <c r="A34" s="4"/>
      <c r="C34" s="13"/>
    </row>
    <row r="35" spans="1:3" ht="15">
      <c r="A35" s="4"/>
      <c r="C35" s="13"/>
    </row>
    <row r="36" spans="1:3" ht="15">
      <c r="A36" s="4"/>
      <c r="C36" s="13"/>
    </row>
  </sheetData>
  <printOptions/>
  <pageMargins left="0.7" right="0.7" top="0.75" bottom="0.75" header="0.3" footer="0.3"/>
  <pageSetup horizontalDpi="200" verticalDpi="2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8"/>
  <sheetViews>
    <sheetView workbookViewId="0" topLeftCell="A1"/>
  </sheetViews>
  <sheetFormatPr defaultColWidth="9.140625" defaultRowHeight="15"/>
  <cols>
    <col min="2" max="2" width="24.57421875" style="0" bestFit="1" customWidth="1"/>
    <col min="3" max="3" width="10.57421875" style="0" bestFit="1" customWidth="1"/>
    <col min="4" max="4" width="16.140625" style="0" bestFit="1" customWidth="1"/>
    <col min="5" max="5" width="10.57421875" style="0" bestFit="1" customWidth="1"/>
    <col min="6" max="6" width="10.7109375" style="0" bestFit="1" customWidth="1"/>
    <col min="7" max="7" width="11.421875" style="0" bestFit="1" customWidth="1"/>
    <col min="8" max="8" width="11.7109375" style="0" bestFit="1" customWidth="1"/>
    <col min="9" max="9" width="1.7109375" style="0" customWidth="1"/>
    <col min="10" max="10" width="10.57421875" style="0" bestFit="1" customWidth="1"/>
    <col min="11" max="11" width="15.421875" style="0" bestFit="1" customWidth="1"/>
  </cols>
  <sheetData>
    <row r="1" spans="1:8" ht="15">
      <c r="A1" s="5" t="s">
        <v>39</v>
      </c>
      <c r="B1" s="5" t="s">
        <v>36</v>
      </c>
      <c r="C1" s="5" t="s">
        <v>37</v>
      </c>
      <c r="D1" s="5" t="s">
        <v>125</v>
      </c>
      <c r="E1" s="5" t="s">
        <v>101</v>
      </c>
      <c r="F1" s="5" t="s">
        <v>126</v>
      </c>
      <c r="G1" s="5" t="s">
        <v>102</v>
      </c>
      <c r="H1" s="5" t="s">
        <v>103</v>
      </c>
    </row>
    <row r="2" spans="1:11" ht="15">
      <c r="A2" s="4">
        <v>40206</v>
      </c>
      <c r="B2" t="s">
        <v>127</v>
      </c>
      <c r="C2" s="1">
        <v>307.93</v>
      </c>
      <c r="D2" s="36">
        <v>10000</v>
      </c>
      <c r="E2" s="32">
        <f>IF(D2&lt;&gt;"",D2/C2,"")</f>
        <v>32.47491312960738</v>
      </c>
      <c r="F2" s="36">
        <v>150</v>
      </c>
      <c r="G2" s="32">
        <f aca="true" t="shared" si="0" ref="G2">IF(F2&lt;&gt;"",(E2*C2+F2)/C2,"")</f>
        <v>32.96203682655149</v>
      </c>
      <c r="H2" s="33">
        <f>IF(G2&lt;&gt;"",F2/G2,"")</f>
        <v>4.550689655172413</v>
      </c>
      <c r="J2" s="4">
        <f>Cambodia!E3</f>
        <v>40206</v>
      </c>
      <c r="K2" t="s">
        <v>34</v>
      </c>
    </row>
    <row r="3" spans="1:11" ht="15">
      <c r="A3" s="4">
        <v>40207</v>
      </c>
      <c r="B3" t="s">
        <v>128</v>
      </c>
      <c r="C3" s="1">
        <v>610.84</v>
      </c>
      <c r="D3" s="36">
        <v>20000</v>
      </c>
      <c r="E3" s="32">
        <f aca="true" t="shared" si="1" ref="E3:E10">IF(D3&lt;&gt;"",D3/C3,"")</f>
        <v>32.74179817955602</v>
      </c>
      <c r="F3" s="36">
        <v>150</v>
      </c>
      <c r="G3" s="32">
        <f aca="true" t="shared" si="2" ref="G3:G11">IF(F3&lt;&gt;"",(E3*C3+F3)/C3,"")</f>
        <v>32.98736166590269</v>
      </c>
      <c r="H3" s="33">
        <f aca="true" t="shared" si="3" ref="H3:H11">IF(G3&lt;&gt;"",F3/G3,"")</f>
        <v>4.547196029776675</v>
      </c>
      <c r="J3" s="4">
        <v>40218</v>
      </c>
      <c r="K3" t="s">
        <v>35</v>
      </c>
    </row>
    <row r="4" spans="1:11" ht="15">
      <c r="A4" s="4">
        <v>40207</v>
      </c>
      <c r="B4" t="s">
        <v>128</v>
      </c>
      <c r="C4" s="1">
        <v>307.69</v>
      </c>
      <c r="D4" s="36">
        <v>10000</v>
      </c>
      <c r="E4" s="32">
        <f t="shared" si="1"/>
        <v>32.50024375182814</v>
      </c>
      <c r="F4" s="36">
        <v>150</v>
      </c>
      <c r="G4" s="32">
        <f t="shared" si="2"/>
        <v>32.98774740810556</v>
      </c>
      <c r="H4" s="33">
        <f t="shared" si="3"/>
        <v>4.547142857142857</v>
      </c>
      <c r="J4">
        <f>J3-J2</f>
        <v>12</v>
      </c>
      <c r="K4" t="s">
        <v>32</v>
      </c>
    </row>
    <row r="5" spans="1:11" ht="15">
      <c r="A5" s="4">
        <v>40211</v>
      </c>
      <c r="B5" t="s">
        <v>136</v>
      </c>
      <c r="C5" s="1">
        <v>7.97</v>
      </c>
      <c r="D5" s="36"/>
      <c r="E5" s="32"/>
      <c r="F5" s="36"/>
      <c r="G5" s="32"/>
      <c r="H5" s="33"/>
      <c r="J5" s="3">
        <f>C14-879.32</f>
        <v>805.2884848484849</v>
      </c>
      <c r="K5" t="s">
        <v>31</v>
      </c>
    </row>
    <row r="6" spans="1:11" ht="15">
      <c r="A6" s="4">
        <v>40213</v>
      </c>
      <c r="B6" t="s">
        <v>134</v>
      </c>
      <c r="C6" s="1">
        <v>368.1</v>
      </c>
      <c r="D6" s="36">
        <v>12000</v>
      </c>
      <c r="E6" s="32">
        <f t="shared" si="1"/>
        <v>32.59983700081499</v>
      </c>
      <c r="F6" s="36">
        <v>150</v>
      </c>
      <c r="G6" s="32">
        <f t="shared" si="2"/>
        <v>33.00733496332518</v>
      </c>
      <c r="H6" s="33">
        <f t="shared" si="3"/>
        <v>4.544444444444445</v>
      </c>
      <c r="J6" s="3">
        <f>J5/J4</f>
        <v>67.10737373737375</v>
      </c>
      <c r="K6" t="s">
        <v>38</v>
      </c>
    </row>
    <row r="7" spans="1:12" ht="15">
      <c r="A7" s="4">
        <v>40217</v>
      </c>
      <c r="B7" t="s">
        <v>140</v>
      </c>
      <c r="C7" s="1">
        <v>2.13</v>
      </c>
      <c r="D7" s="36"/>
      <c r="E7" s="32"/>
      <c r="F7" s="36"/>
      <c r="G7" s="32"/>
      <c r="H7" s="33"/>
      <c r="L7" t="s">
        <v>67</v>
      </c>
    </row>
    <row r="8" spans="1:12" ht="15">
      <c r="A8" s="4">
        <v>40218</v>
      </c>
      <c r="B8" t="s">
        <v>134</v>
      </c>
      <c r="C8" s="1">
        <v>95.1</v>
      </c>
      <c r="D8" s="36">
        <v>3000</v>
      </c>
      <c r="E8" s="32">
        <f t="shared" si="1"/>
        <v>31.54574132492114</v>
      </c>
      <c r="F8" s="36">
        <v>150</v>
      </c>
      <c r="G8" s="32">
        <f t="shared" si="2"/>
        <v>33.123028391167196</v>
      </c>
      <c r="H8" s="33">
        <f t="shared" si="3"/>
        <v>4.5285714285714285</v>
      </c>
      <c r="K8" t="s">
        <v>180</v>
      </c>
      <c r="L8" s="2">
        <v>30</v>
      </c>
    </row>
    <row r="9" spans="1:12" ht="15">
      <c r="A9" s="4">
        <v>40218</v>
      </c>
      <c r="B9" t="s">
        <v>139</v>
      </c>
      <c r="C9" s="12">
        <f>-500/33</f>
        <v>-15.151515151515152</v>
      </c>
      <c r="D9" s="36"/>
      <c r="E9" s="32" t="str">
        <f t="shared" si="1"/>
        <v/>
      </c>
      <c r="F9" s="36"/>
      <c r="G9" s="32" t="str">
        <f t="shared" si="2"/>
        <v/>
      </c>
      <c r="H9" s="33" t="str">
        <f t="shared" si="3"/>
        <v/>
      </c>
      <c r="K9" t="s">
        <v>167</v>
      </c>
      <c r="L9" s="2">
        <v>15</v>
      </c>
    </row>
    <row r="10" spans="1:12" ht="15">
      <c r="A10" s="4"/>
      <c r="C10" s="13"/>
      <c r="D10" s="36"/>
      <c r="E10" s="32" t="str">
        <f t="shared" si="1"/>
        <v/>
      </c>
      <c r="F10" s="36"/>
      <c r="G10" s="32" t="str">
        <f t="shared" si="2"/>
        <v/>
      </c>
      <c r="H10" s="33" t="str">
        <f t="shared" si="3"/>
        <v/>
      </c>
      <c r="K10" t="s">
        <v>182</v>
      </c>
      <c r="L10" s="2">
        <v>10</v>
      </c>
    </row>
    <row r="11" spans="1:12" ht="15">
      <c r="A11" s="4"/>
      <c r="C11" s="13"/>
      <c r="D11" s="36"/>
      <c r="F11" s="36"/>
      <c r="G11" s="32" t="str">
        <f t="shared" si="2"/>
        <v/>
      </c>
      <c r="H11" s="33" t="str">
        <f t="shared" si="3"/>
        <v/>
      </c>
      <c r="K11" t="s">
        <v>181</v>
      </c>
      <c r="L11" s="2">
        <v>10</v>
      </c>
    </row>
    <row r="12" spans="1:12" ht="15">
      <c r="A12" s="4"/>
      <c r="C12" s="13"/>
      <c r="D12" s="36"/>
      <c r="F12" s="36"/>
      <c r="L12" s="2">
        <f>SUM(L8:L11)</f>
        <v>65</v>
      </c>
    </row>
    <row r="13" spans="1:6" ht="15">
      <c r="A13" s="4"/>
      <c r="C13" s="13"/>
      <c r="F13" s="36"/>
    </row>
    <row r="14" spans="1:3" ht="15">
      <c r="A14" s="4"/>
      <c r="C14" s="3">
        <f>SUM(C2:C13)</f>
        <v>1684.608484848485</v>
      </c>
    </row>
    <row r="15" spans="1:3" ht="15">
      <c r="A15" s="4"/>
      <c r="C15" s="13"/>
    </row>
    <row r="16" spans="1:3" ht="15">
      <c r="A16" s="4"/>
      <c r="C16" s="13"/>
    </row>
    <row r="17" spans="1:3" ht="15">
      <c r="A17" s="4"/>
      <c r="C17" s="13"/>
    </row>
    <row r="18" spans="1:3" ht="15">
      <c r="A18" s="4"/>
      <c r="C18" s="13"/>
    </row>
    <row r="19" spans="1:3" ht="15">
      <c r="A19" s="4"/>
      <c r="C19" s="13"/>
    </row>
    <row r="20" spans="1:3" ht="15">
      <c r="A20" s="4"/>
      <c r="C20" s="13"/>
    </row>
    <row r="21" spans="1:3" ht="15">
      <c r="A21" s="4"/>
      <c r="C21" s="13"/>
    </row>
    <row r="22" spans="1:3" ht="15">
      <c r="A22" s="4"/>
      <c r="C22" s="13"/>
    </row>
    <row r="23" spans="1:3" ht="15">
      <c r="A23" s="4"/>
      <c r="C23" s="13"/>
    </row>
    <row r="24" spans="1:3" ht="15">
      <c r="A24" s="4"/>
      <c r="C24" s="13"/>
    </row>
    <row r="25" spans="1:3" ht="15">
      <c r="A25" s="4"/>
      <c r="C25" s="13"/>
    </row>
    <row r="26" spans="1:3" ht="15">
      <c r="A26" s="4"/>
      <c r="C26" s="13"/>
    </row>
    <row r="27" spans="1:3" ht="15">
      <c r="A27" s="4"/>
      <c r="C27" s="13"/>
    </row>
    <row r="28" spans="1:3" ht="15">
      <c r="A28" s="4"/>
      <c r="C28" s="13"/>
    </row>
    <row r="29" spans="1:3" ht="15">
      <c r="A29" s="4"/>
      <c r="C29" s="13"/>
    </row>
    <row r="30" spans="1:3" ht="15">
      <c r="A30" s="4"/>
      <c r="C30" s="13"/>
    </row>
    <row r="31" spans="1:3" ht="15">
      <c r="A31" s="4"/>
      <c r="C31" s="13"/>
    </row>
    <row r="32" spans="1:3" ht="15">
      <c r="A32" s="4"/>
      <c r="C32" s="13"/>
    </row>
    <row r="33" spans="1:3" ht="15">
      <c r="A33" s="4"/>
      <c r="C33" s="13"/>
    </row>
    <row r="34" spans="1:3" ht="15">
      <c r="A34" s="4"/>
      <c r="C34" s="13"/>
    </row>
    <row r="35" spans="1:3" ht="15">
      <c r="A35" s="4"/>
      <c r="C35" s="13"/>
    </row>
    <row r="36" spans="1:3" ht="15">
      <c r="A36" s="4"/>
      <c r="C36" s="13"/>
    </row>
    <row r="37" spans="1:3" ht="15">
      <c r="A37" s="4"/>
      <c r="C37" s="13"/>
    </row>
    <row r="38" spans="1:3" ht="15">
      <c r="A38" s="4"/>
      <c r="C38" s="13"/>
    </row>
  </sheetData>
  <printOptions/>
  <pageMargins left="0.7" right="0.7" top="0.75" bottom="0.75" header="0.3" footer="0.3"/>
  <pageSetup horizontalDpi="200" verticalDpi="2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2"/>
  <sheetViews>
    <sheetView workbookViewId="0" topLeftCell="A1"/>
  </sheetViews>
  <sheetFormatPr defaultColWidth="9.140625" defaultRowHeight="15"/>
  <cols>
    <col min="2" max="2" width="24.57421875" style="0" bestFit="1" customWidth="1"/>
    <col min="3" max="3" width="10.57421875" style="0" bestFit="1" customWidth="1"/>
    <col min="4" max="4" width="11.28125" style="0" bestFit="1" customWidth="1"/>
    <col min="5" max="5" width="10.57421875" style="0" bestFit="1" customWidth="1"/>
    <col min="6" max="6" width="2.140625" style="0" customWidth="1"/>
    <col min="7" max="7" width="10.57421875" style="0" bestFit="1" customWidth="1"/>
    <col min="8" max="8" width="15.421875" style="0" bestFit="1" customWidth="1"/>
  </cols>
  <sheetData>
    <row r="1" spans="1:5" ht="15">
      <c r="A1" s="5" t="s">
        <v>39</v>
      </c>
      <c r="B1" s="5" t="s">
        <v>36</v>
      </c>
      <c r="C1" s="5" t="s">
        <v>37</v>
      </c>
      <c r="D1" s="5" t="s">
        <v>137</v>
      </c>
      <c r="E1" s="5" t="s">
        <v>101</v>
      </c>
    </row>
    <row r="2" spans="1:8" ht="15">
      <c r="A2" s="4">
        <v>40218</v>
      </c>
      <c r="B2" t="s">
        <v>141</v>
      </c>
      <c r="C2" s="1">
        <v>73.42</v>
      </c>
      <c r="D2" s="37">
        <v>500</v>
      </c>
      <c r="E2" s="32">
        <f>IF(D2&lt;&gt;"",D2/C2,"")</f>
        <v>6.810133478616181</v>
      </c>
      <c r="G2" s="4">
        <f>Thailand!J3</f>
        <v>40218</v>
      </c>
      <c r="H2" t="s">
        <v>34</v>
      </c>
    </row>
    <row r="3" spans="1:8" ht="15">
      <c r="A3" s="4">
        <v>40219</v>
      </c>
      <c r="B3" t="s">
        <v>138</v>
      </c>
      <c r="C3" s="1">
        <v>220.26</v>
      </c>
      <c r="D3" s="37">
        <v>1500</v>
      </c>
      <c r="E3" s="32">
        <f aca="true" t="shared" si="0" ref="E3:E12">IF(D3&lt;&gt;"",D3/C3,"")</f>
        <v>6.810133478616181</v>
      </c>
      <c r="G3" s="4">
        <v>40232</v>
      </c>
      <c r="H3" t="s">
        <v>35</v>
      </c>
    </row>
    <row r="4" spans="1:8" ht="15">
      <c r="A4" s="4">
        <v>40222</v>
      </c>
      <c r="B4" t="s">
        <v>142</v>
      </c>
      <c r="C4" s="1">
        <v>73.42</v>
      </c>
      <c r="D4" s="37">
        <v>500</v>
      </c>
      <c r="E4" s="32">
        <f t="shared" si="0"/>
        <v>6.810133478616181</v>
      </c>
      <c r="G4">
        <f>G3-G2</f>
        <v>14</v>
      </c>
      <c r="H4" t="s">
        <v>32</v>
      </c>
    </row>
    <row r="5" spans="1:8" ht="15">
      <c r="A5" s="4">
        <v>40224</v>
      </c>
      <c r="B5" t="s">
        <v>143</v>
      </c>
      <c r="C5" s="1">
        <v>73.42</v>
      </c>
      <c r="D5" s="37">
        <v>500</v>
      </c>
      <c r="E5" s="32">
        <f t="shared" si="0"/>
        <v>6.810133478616181</v>
      </c>
      <c r="G5" s="3">
        <f>C13</f>
        <v>1131.1515151515152</v>
      </c>
      <c r="H5" t="s">
        <v>31</v>
      </c>
    </row>
    <row r="6" spans="1:8" ht="15">
      <c r="A6" s="4">
        <v>40225</v>
      </c>
      <c r="B6" t="s">
        <v>144</v>
      </c>
      <c r="C6" s="1">
        <v>73.42</v>
      </c>
      <c r="D6" s="37">
        <v>500</v>
      </c>
      <c r="E6" s="32">
        <f t="shared" si="0"/>
        <v>6.810133478616181</v>
      </c>
      <c r="G6" s="3">
        <f>C13/G4</f>
        <v>80.7965367965368</v>
      </c>
      <c r="H6" t="s">
        <v>38</v>
      </c>
    </row>
    <row r="7" spans="1:9" ht="15">
      <c r="A7" s="4">
        <v>40225</v>
      </c>
      <c r="B7" t="s">
        <v>145</v>
      </c>
      <c r="C7" s="1">
        <v>73.42</v>
      </c>
      <c r="D7" s="37">
        <v>500</v>
      </c>
      <c r="E7" s="32">
        <f t="shared" si="0"/>
        <v>6.810133478616181</v>
      </c>
      <c r="I7" t="s">
        <v>67</v>
      </c>
    </row>
    <row r="8" spans="1:9" ht="15">
      <c r="A8" s="4">
        <v>40227</v>
      </c>
      <c r="B8" t="s">
        <v>146</v>
      </c>
      <c r="C8" s="1">
        <v>73.42</v>
      </c>
      <c r="D8" s="37">
        <v>500</v>
      </c>
      <c r="E8" s="32">
        <f t="shared" si="0"/>
        <v>6.810133478616181</v>
      </c>
      <c r="H8" t="s">
        <v>180</v>
      </c>
      <c r="I8" s="2">
        <v>30</v>
      </c>
    </row>
    <row r="9" spans="1:9" ht="15">
      <c r="A9" s="4">
        <v>40229</v>
      </c>
      <c r="B9" t="s">
        <v>147</v>
      </c>
      <c r="C9" s="1">
        <v>234.95</v>
      </c>
      <c r="D9" s="37">
        <v>1600</v>
      </c>
      <c r="E9" s="32">
        <f t="shared" si="0"/>
        <v>6.8099595658650784</v>
      </c>
      <c r="H9" t="s">
        <v>167</v>
      </c>
      <c r="I9" s="2">
        <v>20</v>
      </c>
    </row>
    <row r="10" spans="1:9" ht="15">
      <c r="A10" s="4">
        <v>40230</v>
      </c>
      <c r="B10" t="s">
        <v>148</v>
      </c>
      <c r="C10" s="1">
        <v>146.85</v>
      </c>
      <c r="D10" s="37">
        <v>1000</v>
      </c>
      <c r="E10" s="32">
        <f t="shared" si="0"/>
        <v>6.809669731018046</v>
      </c>
      <c r="H10" t="s">
        <v>182</v>
      </c>
      <c r="I10" s="2">
        <v>15</v>
      </c>
    </row>
    <row r="11" spans="1:9" ht="15">
      <c r="A11" s="4">
        <v>40230</v>
      </c>
      <c r="B11" t="s">
        <v>149</v>
      </c>
      <c r="C11" s="13">
        <v>73.42</v>
      </c>
      <c r="D11" s="37">
        <v>500</v>
      </c>
      <c r="E11" s="32">
        <f t="shared" si="0"/>
        <v>6.810133478616181</v>
      </c>
      <c r="H11" t="s">
        <v>181</v>
      </c>
      <c r="I11" s="2">
        <v>10</v>
      </c>
    </row>
    <row r="12" spans="1:9" ht="15">
      <c r="A12" s="4"/>
      <c r="B12" t="s">
        <v>139</v>
      </c>
      <c r="C12" s="13">
        <f>-Thailand!C9</f>
        <v>15.151515151515152</v>
      </c>
      <c r="D12" s="37">
        <v>103</v>
      </c>
      <c r="E12" s="32">
        <f t="shared" si="0"/>
        <v>6.798</v>
      </c>
      <c r="I12" s="2">
        <f>SUM(I8:I11)</f>
        <v>75</v>
      </c>
    </row>
    <row r="13" spans="1:3" ht="15">
      <c r="A13" s="4"/>
      <c r="C13" s="3">
        <f>SUM(C2:C12)</f>
        <v>1131.1515151515152</v>
      </c>
    </row>
    <row r="14" ht="15">
      <c r="A14" s="4"/>
    </row>
    <row r="15" spans="1:3" ht="15">
      <c r="A15" s="4"/>
      <c r="C15" s="13"/>
    </row>
    <row r="16" spans="1:3" ht="15">
      <c r="A16" s="4"/>
      <c r="C16" s="13"/>
    </row>
    <row r="17" spans="1:3" ht="15">
      <c r="A17" s="4"/>
      <c r="C17" s="13"/>
    </row>
    <row r="18" spans="1:3" ht="15">
      <c r="A18" s="4"/>
      <c r="C18" s="13"/>
    </row>
    <row r="19" spans="1:3" ht="15">
      <c r="A19" s="4"/>
      <c r="C19" s="13"/>
    </row>
    <row r="20" spans="1:3" ht="15">
      <c r="A20" s="4"/>
      <c r="C20" s="13"/>
    </row>
    <row r="21" spans="1:3" ht="15">
      <c r="A21" s="4"/>
      <c r="C21" s="13"/>
    </row>
    <row r="22" spans="1:3" ht="15">
      <c r="A22" s="4"/>
      <c r="C22" s="13"/>
    </row>
    <row r="23" spans="1:3" ht="15">
      <c r="A23" s="4"/>
      <c r="C23" s="13"/>
    </row>
    <row r="24" spans="1:3" ht="15">
      <c r="A24" s="4"/>
      <c r="C24" s="13"/>
    </row>
    <row r="25" spans="1:3" ht="15">
      <c r="A25" s="4"/>
      <c r="C25" s="13"/>
    </row>
    <row r="26" spans="1:3" ht="15">
      <c r="A26" s="4"/>
      <c r="C26" s="13"/>
    </row>
    <row r="27" spans="1:3" ht="15">
      <c r="A27" s="4"/>
      <c r="C27" s="13"/>
    </row>
    <row r="28" spans="1:3" ht="15">
      <c r="A28" s="4"/>
      <c r="C28" s="13"/>
    </row>
    <row r="29" spans="1:3" ht="15">
      <c r="A29" s="4"/>
      <c r="C29" s="13"/>
    </row>
    <row r="30" spans="1:3" ht="15">
      <c r="A30" s="4"/>
      <c r="C30" s="13"/>
    </row>
    <row r="31" spans="1:3" ht="15">
      <c r="A31" s="4"/>
      <c r="C31" s="13"/>
    </row>
    <row r="32" spans="1:3" ht="15">
      <c r="A32" s="4"/>
      <c r="C32" s="13"/>
    </row>
  </sheetData>
  <printOptions/>
  <pageMargins left="0.7" right="0.7" top="0.75" bottom="0.75" header="0.3" footer="0.3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Your User Name</cp:lastModifiedBy>
  <dcterms:created xsi:type="dcterms:W3CDTF">2009-10-29T14:35:35Z</dcterms:created>
  <dcterms:modified xsi:type="dcterms:W3CDTF">2010-07-15T02:57:11Z</dcterms:modified>
  <cp:category/>
  <cp:version/>
  <cp:contentType/>
  <cp:contentStatus/>
</cp:coreProperties>
</file>